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C90" i="2" s="1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F139" i="1" l="1"/>
  <c r="D102" i="2"/>
  <c r="J641" i="1"/>
  <c r="G570" i="1"/>
  <c r="A22" i="12"/>
  <c r="D50" i="2"/>
  <c r="J648" i="1"/>
  <c r="F544" i="1"/>
  <c r="I433" i="1"/>
  <c r="G433" i="1"/>
  <c r="I191" i="1"/>
  <c r="K433" i="1"/>
  <c r="G133" i="2" s="1"/>
  <c r="G143" i="2" s="1"/>
  <c r="G144" i="2" s="1"/>
  <c r="E90" i="2"/>
  <c r="C80" i="2"/>
  <c r="C103" i="2" s="1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C39" i="10" s="1"/>
  <c r="J139" i="1"/>
  <c r="D103" i="2"/>
  <c r="J637" i="1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D15" i="10"/>
  <c r="D27" i="10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F192" i="1" l="1"/>
  <c r="G626" i="1" s="1"/>
  <c r="J626" i="1" s="1"/>
  <c r="D26" i="10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<sst xmlns="http://schemas.openxmlformats.org/spreadsheetml/2006/main" count="3943" uniqueCount="910">
  <si>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</si>
  <si>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</si>
  <si>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</si>
  <si>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</si>
  <si>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</si>
  <si>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</si>
  <si>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</si>
  <si>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</si>
  <si>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</si>
  <si>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</si>
  <si>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</si>
  <si>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</si>
  <si>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</si>
  <si>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</si>
  <si>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</si>
  <si>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</si>
  <si>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</si>
  <si>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</si>
  <si>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</si>
  <si>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</si>
  <si>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</si>
  <si>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</si>
  <si>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</si>
  <si>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</si>
  <si>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</si>
  <si>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</si>
  <si>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</si>
  <si>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</si>
  <si>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</si>
  <si>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</si>
  <si>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</si>
  <si>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</si>
  <si>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</si>
  <si>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</si>
  <si>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</si>
  <si>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</si>
  <si>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</si>
  <si>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</si>
  <si>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</si>
  <si>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</si>
  <si>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</si>
  <si>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</si>
  <si>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</si>
  <si>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</si>
  <si>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</si>
  <si>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</si>
  <si>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</si>
  <si>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</si>
  <si>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</si>
  <si>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</si>
  <si>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</si>
  <si>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</si>
  <si>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</si>
  <si>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</si>
  <si>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</si>
  <si>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</si>
  <si>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</si>
  <si>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</si>
  <si>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</si>
  <si>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</si>
  <si>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</si>
  <si>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</si>
  <si>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</si>
  <si>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</si>
  <si>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</si>
  <si>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</si>
  <si>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</si>
  <si>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</si>
  <si>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</si>
  <si>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</si>
  <si>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</si>
  <si>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</si>
  <si>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</si>
  <si>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</si>
  <si>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</si>
  <si>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</si>
  <si>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</si>
  <si>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</si>
  <si>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</si>
  <si>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</si>
  <si>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</si>
  <si>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</si>
  <si>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</si>
  <si>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</si>
  <si>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</si>
  <si>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</si>
  <si>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</si>
  <si>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</si>
  <si>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</si>
  <si>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</si>
  <si>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</si>
  <si>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</si>
  <si>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</si>
  <si>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</si>
  <si>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</si>
  <si>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</si>
  <si>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</si>
  <si>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</si>
  <si>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</si>
  <si>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</si>
  <si>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</si>
  <si>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</si>
  <si>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</si>
  <si>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</si>
  <si>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</si>
  <si>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</si>
  <si>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</si>
  <si>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</si>
  <si>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</si>
  <si>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</si>
  <si>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</si>
  <si>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</si>
  <si>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</si>
  <si>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</si>
  <si>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</si>
  <si>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</si>
  <si>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</si>
  <si>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</si>
  <si>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</si>
  <si>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</si>
  <si>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</si>
  <si>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</si>
  <si>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</si>
  <si>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</si>
  <si>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</si>
  <si>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</si>
  <si>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</si>
  <si>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</si>
  <si>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</si>
  <si>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</si>
  <si>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</si>
  <si>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</si>
  <si>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</si>
  <si>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</si>
  <si>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</si>
  <si>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</si>
  <si>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</si>
  <si>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</si>
  <si>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</si>
  <si>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</si>
  <si>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</si>
  <si>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</si>
  <si>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</si>
  <si>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</si>
  <si>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</si>
  <si>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</si>
  <si>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</si>
  <si>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</si>
  <si>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</si>
  <si>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</si>
  <si>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</si>
  <si>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</si>
  <si>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</si>
  <si>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</si>
  <si>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</si>
  <si>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</si>
  <si>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</si>
  <si>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</si>
  <si>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</si>
  <si>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</si>
  <si>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</si>
  <si>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</si>
  <si>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</si>
  <si>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</si>
  <si>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</si>
  <si>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</si>
  <si>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</si>
  <si>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</si>
  <si>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</si>
  <si>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</si>
  <si>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</si>
  <si>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</si>
  <si>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</si>
  <si>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</si>
  <si>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</si>
  <si>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</si>
  <si>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</si>
  <si>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</si>
  <si>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</si>
  <si>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</si>
  <si>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</si>
  <si>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</si>
  <si>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</si>
  <si>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</si>
  <si>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</si>
  <si>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</si>
  <si>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</si>
  <si>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</si>
  <si>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</si>
  <si>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</si>
  <si>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</si>
  <si>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</si>
  <si>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</si>
  <si>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</si>
  <si>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</si>
  <si>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</si>
  <si>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</si>
  <si>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</si>
  <si>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</si>
  <si>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</si>
  <si>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</si>
  <si>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</si>
  <si>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</si>
  <si>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</si>
  <si>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</si>
  <si>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</si>
  <si>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</si>
  <si>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</si>
  <si>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</si>
  <si>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</si>
  <si>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</si>
  <si>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</si>
  <si>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</si>
  <si>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</si>
  <si>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</si>
  <si>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</si>
  <si>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</si>
  <si>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</si>
  <si>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</si>
  <si>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</si>
  <si>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</si>
  <si>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</si>
  <si>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</si>
  <si>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</si>
  <si>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</si>
  <si>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</si>
  <si>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</si>
  <si>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</si>
  <si>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</si>
  <si>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</si>
  <si>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</si>
  <si>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</si>
  <si>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</si>
  <si>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</si>
  <si>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</si>
  <si>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</si>
  <si>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</si>
  <si>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</si>
  <si>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</si>
  <si>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</si>
  <si>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</si>
  <si>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</si>
  <si>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</si>
  <si>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</si>
  <si>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</si>
  <si>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</si>
  <si>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</si>
  <si>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</si>
  <si>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</si>
  <si>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</si>
  <si>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</si>
  <si>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</si>
  <si>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</si>
  <si>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</si>
  <si>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</si>
  <si>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</si>
  <si>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</si>
  <si>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</si>
  <si>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</si>
  <si>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</si>
  <si>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</si>
  <si>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</si>
  <si>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</si>
  <si>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</si>
  <si>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</si>
  <si>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</si>
  <si>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</si>
  <si>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</si>
  <si>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</si>
  <si>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</si>
  <si>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</si>
  <si>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</si>
  <si>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</si>
  <si>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</si>
  <si>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</si>
  <si>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</si>
  <si>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</si>
  <si>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</si>
  <si>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</si>
  <si>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</si>
  <si>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</si>
  <si>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</si>
  <si>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</si>
  <si>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</si>
  <si>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</si>
  <si>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</si>
  <si>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</si>
  <si>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</si>
  <si>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</si>
  <si>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</si>
  <si>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</si>
  <si>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</si>
  <si>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</si>
  <si>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</si>
  <si>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</si>
  <si>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</si>
  <si>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</si>
  <si>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</si>
  <si>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</si>
  <si>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</si>
  <si>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</si>
  <si>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</si>
  <si>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</si>
  <si>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</si>
  <si>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</si>
  <si>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</si>
  <si>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</si>
  <si>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</si>
  <si>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</si>
  <si>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</si>
  <si>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</si>
  <si>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</si>
  <si>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</si>
  <si>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</si>
  <si>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</si>
  <si>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</si>
  <si>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</si>
  <si>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</si>
  <si>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</si>
  <si>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</si>
  <si>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</si>
  <si>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</si>
  <si>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</si>
  <si>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</si>
  <si>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</si>
  <si>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</si>
  <si>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</si>
  <si>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</si>
  <si>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</si>
  <si>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</si>
  <si>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</si>
  <si>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</si>
  <si>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</si>
  <si>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</si>
  <si>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</si>
  <si>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</si>
  <si>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</si>
  <si>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</si>
  <si>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</si>
  <si>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</si>
  <si>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</si>
  <si>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</si>
  <si>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</si>
  <si>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</si>
  <si>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</si>
  <si>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</si>
  <si>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</si>
  <si>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</si>
  <si>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</si>
  <si>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</si>
  <si>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</si>
  <si>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</si>
  <si>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</si>
  <si>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</si>
  <si>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</si>
  <si>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</si>
  <si>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</si>
  <si>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</si>
  <si>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</si>
  <si>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</si>
  <si>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</si>
  <si>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</si>
  <si>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</si>
  <si>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</si>
  <si>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</si>
  <si>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</si>
  <si>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</si>
  <si>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</si>
  <si>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</si>
  <si>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</si>
  <si>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</si>
  <si>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</si>
  <si>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</si>
  <si>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</si>
  <si>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</si>
  <si>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</si>
  <si>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</si>
  <si>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</si>
  <si>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</si>
  <si>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</si>
  <si>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</si>
  <si>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</si>
  <si>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</si>
  <si>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</si>
  <si>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</si>
  <si>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</si>
  <si>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</si>
  <si>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</si>
  <si>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</si>
  <si>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</si>
  <si>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</si>
  <si>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</si>
  <si>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</si>
  <si>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</si>
  <si>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</si>
  <si>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</si>
  <si>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</si>
  <si>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</si>
  <si>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</si>
  <si>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</si>
  <si>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</si>
  <si>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</si>
  <si>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</si>
  <si>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</si>
  <si>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</si>
  <si>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</si>
  <si>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</si>
  <si>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</si>
  <si>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</si>
  <si>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</si>
  <si>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</si>
  <si>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</si>
  <si>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</si>
  <si>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</si>
  <si>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</si>
  <si>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</si>
  <si>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</si>
  <si>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</si>
  <si>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</si>
  <si>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</si>
  <si>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</si>
  <si>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</si>
  <si>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</si>
  <si>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</si>
  <si>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</si>
  <si>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</si>
  <si>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</si>
  <si>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</si>
  <si>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</si>
  <si>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</si>
  <si>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</si>
  <si>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</si>
  <si>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</si>
  <si>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</si>
  <si>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</si>
  <si>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</si>
  <si>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</si>
  <si>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</si>
  <si>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</si>
  <si>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</si>
  <si>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</si>
  <si>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</si>
  <si>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</si>
  <si>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</si>
  <si>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</si>
  <si>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</si>
  <si>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</si>
  <si>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</si>
  <si>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</si>
  <si>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</si>
  <si>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</si>
  <si>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</si>
  <si>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</si>
  <si>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</si>
  <si>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</si>
  <si>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</si>
  <si>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</si>
  <si>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</si>
  <si>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</si>
  <si>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</si>
  <si>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</si>
  <si>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</si>
  <si>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</si>
  <si>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</si>
  <si>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</si>
  <si>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</si>
  <si>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</si>
  <si>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</si>
  <si>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</si>
  <si>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</si>
  <si>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</si>
  <si>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</si>
  <si>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</si>
  <si>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</si>
  <si>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</si>
  <si>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</si>
  <si>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</si>
  <si>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</si>
  <si>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</si>
  <si>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</si>
  <si>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</si>
  <si>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</si>
  <si>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</si>
  <si>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</si>
  <si>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</si>
  <si>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</si>
  <si>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</si>
  <si>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</si>
  <si>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</si>
  <si>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</si>
  <si>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</si>
  <si>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</si>
  <si>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</si>
  <si>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</si>
  <si>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</si>
  <si>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</si>
  <si>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</si>
  <si>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</si>
  <si>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</si>
  <si>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</si>
  <si>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</si>
  <si>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</si>
  <si>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</si>
  <si>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</si>
  <si>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</si>
  <si>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</si>
  <si>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</si>
  <si>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</si>
  <si>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</si>
  <si>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</si>
  <si>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</si>
  <si>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</si>
  <si>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</si>
  <si>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</si>
  <si>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</si>
  <si>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</si>
  <si>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</si>
  <si>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</si>
  <si>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</si>
  <si>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</si>
  <si>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</si>
  <si>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</si>
  <si>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</si>
  <si>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</si>
  <si>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</si>
  <si>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</si>
  <si>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</si>
  <si>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</si>
  <si>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</si>
  <si>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</si>
  <si>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</si>
  <si>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</si>
  <si>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</si>
  <si>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</si>
  <si>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</si>
  <si>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</si>
  <si>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</si>
  <si>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</si>
  <si>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</si>
  <si>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</si>
  <si>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</si>
  <si>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</si>
  <si>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</si>
  <si>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</si>
  <si>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</si>
  <si>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</si>
  <si>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</si>
  <si>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</si>
  <si>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</si>
  <si>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</si>
  <si>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</si>
  <si>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</si>
  <si>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</si>
  <si>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</si>
  <si>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</si>
  <si>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</si>
  <si>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</si>
  <si>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</si>
  <si>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</si>
  <si>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</si>
  <si>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</si>
  <si>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</si>
  <si>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</si>
  <si>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</si>
  <si>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</si>
  <si>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</si>
  <si>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</si>
  <si>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</si>
  <si>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</si>
  <si>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</si>
  <si>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</si>
  <si>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</si>
  <si>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</si>
  <si>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</si>
  <si>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</si>
  <si>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</si>
  <si>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</si>
  <si>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</si>
  <si>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</si>
  <si>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</si>
  <si>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</si>
  <si>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</si>
  <si>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</si>
  <si>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</si>
  <si>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</si>
  <si>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</si>
  <si>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</si>
  <si>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</si>
  <si>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</si>
  <si>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</si>
  <si>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</si>
  <si>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</si>
  <si>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</si>
  <si>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</si>
  <si>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</si>
  <si>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</si>
  <si>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</si>
  <si>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</si>
  <si>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</si>
  <si>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</si>
  <si>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</si>
  <si>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</si>
  <si>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</si>
  <si>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</si>
  <si>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</si>
  <si>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</si>
  <si>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</si>
  <si>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</si>
  <si>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</si>
  <si>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</si>
  <si>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</si>
  <si>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</si>
  <si>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</si>
  <si>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</si>
  <si>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</si>
  <si>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</si>
  <si>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</si>
  <si>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</si>
  <si>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</si>
  <si>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</si>
  <si>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</si>
  <si>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</si>
  <si>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</si>
  <si>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</si>
  <si>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</si>
  <si>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</si>
  <si>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</si>
  <si>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</si>
  <si>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</si>
  <si>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</si>
  <si>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</si>
  <si>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</si>
  <si>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</si>
  <si>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</si>
  <si>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</si>
  <si>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</si>
  <si>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</si>
  <si>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</si>
  <si>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</si>
  <si>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</si>
  <si>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</si>
  <si>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</si>
  <si>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</si>
  <si>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</si>
  <si>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</si>
  <si>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</si>
  <si>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</si>
  <si>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</si>
  <si>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</si>
  <si>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</si>
  <si>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</si>
  <si>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</si>
  <si>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</si>
  <si>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</si>
  <si>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</si>
  <si>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</si>
  <si>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</si>
  <si>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</si>
  <si>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</si>
  <si>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</si>
  <si>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</si>
  <si>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</si>
  <si>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</si>
  <si>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</si>
  <si>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</si>
  <si>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</si>
  <si>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</si>
  <si>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</si>
  <si>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</si>
  <si>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</si>
  <si>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</si>
  <si>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</si>
  <si>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</si>
  <si>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</si>
  <si>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</si>
  <si>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</si>
  <si>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</si>
  <si>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</si>
  <si>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</si>
  <si>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</si>
  <si>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</si>
  <si>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</si>
  <si>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</si>
  <si>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</si>
  <si>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</si>
  <si>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</si>
  <si>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</si>
  <si>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</si>
  <si>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</si>
  <si>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</si>
  <si>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</si>
  <si>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</si>
  <si>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</si>
  <si>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</si>
  <si>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</si>
  <si>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</si>
  <si>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</si>
  <si>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</si>
  <si>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</si>
  <si>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</si>
  <si>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</si>
  <si>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</si>
  <si>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</si>
  <si>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</si>
  <si>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</si>
  <si>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</si>
  <si>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</si>
  <si>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</si>
  <si>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</si>
  <si>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</si>
  <si>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</si>
  <si>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</si>
  <si>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</si>
  <si>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</si>
  <si>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</si>
  <si>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</si>
  <si>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</si>
  <si>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</si>
  <si>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</si>
  <si>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</si>
  <si>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</si>
  <si>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</si>
  <si>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</si>
  <si>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</si>
  <si>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</si>
  <si>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</si>
  <si>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</si>
  <si>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</si>
  <si>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</si>
  <si>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</si>
  <si>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</si>
  <si>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</si>
  <si>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</si>
  <si>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</si>
  <si>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</si>
  <si>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</si>
  <si>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</si>
  <si>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</si>
  <si>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</si>
  <si>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</si>
  <si>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</si>
  <si>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</si>
  <si>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</si>
  <si>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</si>
  <si>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</si>
  <si>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</si>
  <si>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</si>
  <si>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</si>
  <si>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</si>
  <si>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</si>
  <si>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</si>
  <si>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</si>
  <si>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</si>
  <si>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</si>
  <si>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</si>
  <si>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</si>
  <si>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</si>
  <si>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</si>
  <si>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</si>
  <si>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</si>
  <si>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</si>
  <si>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</si>
  <si>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</si>
  <si>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</si>
  <si>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</si>
  <si>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</si>
  <si>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</si>
  <si>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</si>
  <si>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</si>
  <si>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</si>
  <si>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</si>
  <si>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</si>
  <si>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</si>
  <si>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</si>
  <si>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</si>
  <si>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</si>
  <si>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</si>
  <si>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</si>
  <si>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</si>
  <si>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</si>
  <si>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</si>
  <si>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</si>
  <si>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</si>
  <si>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</si>
  <si>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</si>
  <si>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</si>
  <si>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</si>
  <si>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</si>
  <si>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</si>
  <si>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</si>
  <si>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</si>
  <si>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</si>
  <si>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</si>
  <si>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</si>
  <si>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</si>
  <si>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</si>
  <si>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</si>
  <si>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</si>
  <si>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</si>
  <si>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</si>
  <si>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</si>
  <si>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</si>
  <si>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</si>
  <si>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</si>
  <si>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</si>
  <si>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</si>
  <si>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</si>
  <si>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</si>
  <si>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</si>
  <si>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</si>
  <si>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</si>
  <si>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</si>
  <si>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</si>
  <si>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</si>
  <si>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</si>
  <si>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</si>
  <si>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</si>
  <si>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</si>
  <si>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</si>
  <si>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</si>
  <si>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</si>
  <si>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</si>
  <si>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</si>
  <si>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</si>
  <si>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</si>
  <si>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</si>
  <si>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</si>
  <si>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</si>
  <si>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</si>
  <si>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</si>
  <si>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</si>
  <si>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</si>
  <si>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</si>
  <si>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</si>
  <si>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</si>
  <si>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</si>
  <si>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</si>
  <si>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</si>
  <si>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</si>
  <si>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</si>
  <si>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</si>
  <si>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</si>
  <si>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</si>
  <si>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</si>
  <si>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</si>
  <si>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</si>
  <si>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</si>
  <si>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</si>
  <si>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</si>
  <si>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</si>
  <si>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</si>
  <si>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</si>
  <si>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</si>
  <si>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</si>
  <si>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</si>
  <si>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</si>
  <si>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</si>
  <si>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</si>
  <si>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</si>
  <si>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</si>
  <si>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</si>
  <si>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</si>
  <si>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</si>
  <si>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</si>
  <si>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</si>
  <si>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</si>
  <si>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</si>
  <si>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</si>
  <si>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</si>
  <si>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</si>
  <si>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</si>
  <si>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</si>
  <si>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</si>
  <si>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</si>
  <si>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</si>
  <si>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</si>
  <si>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</si>
  <si>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</si>
  <si>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</si>
  <si>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</si>
  <si>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</si>
  <si>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</si>
  <si>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</si>
  <si>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</si>
  <si>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</si>
  <si>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</si>
  <si>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</si>
  <si>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</si>
  <si>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</si>
  <si>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</si>
  <si>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</si>
  <si>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</si>
  <si>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</si>
  <si>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</si>
  <si>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</si>
  <si>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</si>
  <si>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</si>
  <si>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</si>
  <si>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</si>
  <si>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</si>
  <si>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</si>
  <si>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</si>
  <si>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</si>
  <si>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</si>
  <si>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</si>
  <si>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</si>
  <si>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</si>
  <si>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</si>
  <si>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</si>
  <si>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Hanover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</si>
</sst>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73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144" sqref="F144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233</v>
      </c>
      <c r="C2" s="21">
        <v>233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111523.9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404067.36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1446.48</v>
      </c>
      <c r="G13" s="18">
        <v>3061.29</v>
      </c>
      <c r="H13" s="18">
        <v>17536.45</v>
      </c>
      <c r="I13" s="18"/>
      <c r="J13" s="67">
        <f>SUM(I441)</f>
        <v>140471.88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7738.54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3755.89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528532.17000000004</v>
      </c>
      <c r="G19" s="41">
        <f>SUM(G9:G18)</f>
        <v>3061.29</v>
      </c>
      <c r="H19" s="41">
        <f>SUM(H9:H18)</f>
        <v>17536.45</v>
      </c>
      <c r="I19" s="41">
        <f>SUM(I9:I18)</f>
        <v>0</v>
      </c>
      <c r="J19" s="41">
        <f>SUM(J9:J18)</f>
        <v>140471.88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39209.550000000003</v>
      </c>
      <c r="G22" s="18">
        <v>-57000.53</v>
      </c>
      <c r="H22" s="18">
        <v>17536.45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72021.260000000009</v>
      </c>
      <c r="G24" s="18">
        <v>26766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4455</v>
      </c>
      <c r="G30" s="18">
        <v>8652.15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28103.47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143789.28000000003</v>
      </c>
      <c r="G32" s="41">
        <f>SUM(G22:G31)</f>
        <v>-21582.379999999997</v>
      </c>
      <c r="H32" s="41">
        <f>SUM(H22:H31)</f>
        <v>17536.45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140471.88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>
        <v>24643.670000000002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384742.89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384742.89</v>
      </c>
      <c r="G50" s="41">
        <f>SUM(G35:G49)</f>
        <v>24643.670000000002</v>
      </c>
      <c r="H50" s="41">
        <f>SUM(H35:H49)</f>
        <v>0</v>
      </c>
      <c r="I50" s="41">
        <f>SUM(I35:I49)</f>
        <v>0</v>
      </c>
      <c r="J50" s="41">
        <f>SUM(J35:J49)</f>
        <v>140471.88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528532.17000000004</v>
      </c>
      <c r="G51" s="41">
        <f>G50+G32</f>
        <v>3061.2900000000045</v>
      </c>
      <c r="H51" s="41">
        <f>H50+H32</f>
        <v>17536.45</v>
      </c>
      <c r="I51" s="41">
        <f>I50+I32</f>
        <v>0</v>
      </c>
      <c r="J51" s="41">
        <f>J50+J32</f>
        <v>140471.88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8529328</v>
      </c>
      <c r="G56" s="18"/>
      <c r="H56" s="18"/>
      <c r="I56" s="18"/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50000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8579328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2665.62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3800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6465.62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1050.46</v>
      </c>
      <c r="G95" s="18"/>
      <c r="H95" s="18"/>
      <c r="I95" s="18"/>
      <c r="J95" s="18">
        <v>59.61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119256.1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11709.94</v>
      </c>
      <c r="G100" s="18">
        <v>150</v>
      </c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180668.43</v>
      </c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3689.5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312.97000000000003</v>
      </c>
      <c r="G109" s="18">
        <v>1210.44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197431.3</v>
      </c>
      <c r="G110" s="41">
        <f>SUM(G95:G109)</f>
        <v>120616.54000000001</v>
      </c>
      <c r="H110" s="41">
        <f>SUM(H95:H109)</f>
        <v>0</v>
      </c>
      <c r="I110" s="41">
        <f>SUM(I95:I109)</f>
        <v>0</v>
      </c>
      <c r="J110" s="41">
        <f>SUM(J95:J109)</f>
        <v>59.61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8783224.9199999999</v>
      </c>
      <c r="G111" s="41">
        <f>G59+G110</f>
        <v>120616.54000000001</v>
      </c>
      <c r="H111" s="41">
        <f>H59+H78+H93+H110</f>
        <v>0</v>
      </c>
      <c r="I111" s="41">
        <f>I59+I110</f>
        <v>0</v>
      </c>
      <c r="J111" s="41">
        <f>J59+J110</f>
        <v>59.61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2205126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7361.82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2212487.8199999998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166923.72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251785.56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1708.28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418709.28</v>
      </c>
      <c r="G135" s="41">
        <f>SUM(G122:G134)</f>
        <v>1708.28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2631197.0999999996</v>
      </c>
      <c r="G139" s="41">
        <f>G120+SUM(G135:G136)</f>
        <v>1708.28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44938.78</v>
      </c>
      <c r="G145" s="18"/>
      <c r="H145" s="18">
        <v>13516.71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44938.78</v>
      </c>
      <c r="G146" s="41">
        <f>SUM(G144:G145)</f>
        <v>0</v>
      </c>
      <c r="H146" s="41">
        <f>SUM(H144:H145)</f>
        <v>13516.71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15341.67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95932.160000000003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87523.57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87523.57</v>
      </c>
      <c r="G161" s="41">
        <f>SUM(G149:G160)</f>
        <v>15341.67</v>
      </c>
      <c r="H161" s="41">
        <f>SUM(H149:H160)</f>
        <v>95932.160000000003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1223.4000000000001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133685.75</v>
      </c>
      <c r="G168" s="41">
        <f>G146+G161+SUM(G162:G167)</f>
        <v>15341.67</v>
      </c>
      <c r="H168" s="41">
        <f>H146+H161+SUM(H162:H167)</f>
        <v>109448.87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85000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85000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70147.64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70147.64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70147.64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85000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11618255.41</v>
      </c>
      <c r="G192" s="47">
        <f>G111+G139+G168+G191</f>
        <v>137666.49000000002</v>
      </c>
      <c r="H192" s="47">
        <f>H111+H139+H168+H191</f>
        <v>109448.87</v>
      </c>
      <c r="I192" s="47">
        <f>I111+I139+I168+I191</f>
        <v>0</v>
      </c>
      <c r="J192" s="47">
        <f>J111+J139+J191</f>
        <v>85059.61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2681028.31</v>
      </c>
      <c r="G196" s="18">
        <v>1069847.78</v>
      </c>
      <c r="H196" s="18">
        <v>1923712.24</v>
      </c>
      <c r="I196" s="18">
        <v>65191.67</v>
      </c>
      <c r="J196" s="18">
        <v>55566.45</v>
      </c>
      <c r="K196" s="18">
        <v>15366.71</v>
      </c>
      <c r="L196" s="19">
        <f>SUM(F196:K196)</f>
        <v>5810713.1600000001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1139164.3899999999</v>
      </c>
      <c r="G197" s="18">
        <v>535969.78</v>
      </c>
      <c r="H197" s="18">
        <v>200941.91000000003</v>
      </c>
      <c r="I197" s="18">
        <v>8015.78</v>
      </c>
      <c r="J197" s="18">
        <v>2723.22</v>
      </c>
      <c r="K197" s="18">
        <v>125</v>
      </c>
      <c r="L197" s="19">
        <f>SUM(F197:K197)</f>
        <v>1886940.08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189260.3</v>
      </c>
      <c r="G201" s="18">
        <v>89043.24</v>
      </c>
      <c r="H201" s="18">
        <v>1993.5</v>
      </c>
      <c r="I201" s="18">
        <v>2394.58</v>
      </c>
      <c r="J201" s="18">
        <v>0</v>
      </c>
      <c r="K201" s="18">
        <v>225</v>
      </c>
      <c r="L201" s="19">
        <f t="shared" ref="L201:L207" si="0">SUM(F201:K201)</f>
        <v>282916.62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185001.67</v>
      </c>
      <c r="G202" s="18">
        <v>131880.29999999999</v>
      </c>
      <c r="H202" s="18">
        <v>5774.6</v>
      </c>
      <c r="I202" s="18">
        <v>13110.29</v>
      </c>
      <c r="J202" s="18">
        <v>4962.37</v>
      </c>
      <c r="K202" s="18">
        <v>0</v>
      </c>
      <c r="L202" s="19">
        <f t="shared" si="0"/>
        <v>340729.22999999992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6221.02</v>
      </c>
      <c r="G203" s="18">
        <v>520.41</v>
      </c>
      <c r="H203" s="18">
        <v>306088.75</v>
      </c>
      <c r="I203" s="18">
        <v>0</v>
      </c>
      <c r="J203" s="18">
        <v>0</v>
      </c>
      <c r="K203" s="18">
        <v>7521.65</v>
      </c>
      <c r="L203" s="19">
        <f t="shared" si="0"/>
        <v>320351.83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264944.64000000001</v>
      </c>
      <c r="G204" s="18">
        <v>330952.59999999998</v>
      </c>
      <c r="H204" s="18">
        <v>24704.639999999999</v>
      </c>
      <c r="I204" s="18">
        <v>1708.62</v>
      </c>
      <c r="J204" s="18">
        <v>2326.34</v>
      </c>
      <c r="K204" s="18">
        <v>759</v>
      </c>
      <c r="L204" s="19">
        <f t="shared" si="0"/>
        <v>625395.84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168245.72</v>
      </c>
      <c r="G206" s="18">
        <v>59859.32</v>
      </c>
      <c r="H206" s="18">
        <v>128465.72</v>
      </c>
      <c r="I206" s="18">
        <v>131281.03</v>
      </c>
      <c r="J206" s="18">
        <v>1471.15</v>
      </c>
      <c r="K206" s="18">
        <v>0</v>
      </c>
      <c r="L206" s="19">
        <f t="shared" si="0"/>
        <v>489322.94000000006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253628.07</v>
      </c>
      <c r="I207" s="18">
        <v>20047.169999999998</v>
      </c>
      <c r="J207" s="18">
        <v>0</v>
      </c>
      <c r="K207" s="18">
        <v>0</v>
      </c>
      <c r="L207" s="19">
        <f t="shared" si="0"/>
        <v>273675.24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46051.34</v>
      </c>
      <c r="I208" s="18">
        <v>0</v>
      </c>
      <c r="J208" s="18">
        <v>0</v>
      </c>
      <c r="K208" s="18">
        <v>0</v>
      </c>
      <c r="L208" s="19">
        <f>SUM(F208:K208)</f>
        <v>46051.34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4633866.0499999989</v>
      </c>
      <c r="G210" s="41">
        <f t="shared" si="1"/>
        <v>2218073.4299999997</v>
      </c>
      <c r="H210" s="41">
        <f t="shared" si="1"/>
        <v>2891360.77</v>
      </c>
      <c r="I210" s="41">
        <f t="shared" si="1"/>
        <v>241749.14</v>
      </c>
      <c r="J210" s="41">
        <f t="shared" si="1"/>
        <v>67049.53</v>
      </c>
      <c r="K210" s="41">
        <f t="shared" si="1"/>
        <v>23997.360000000001</v>
      </c>
      <c r="L210" s="41">
        <f t="shared" si="1"/>
        <v>10076096.279999999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116186.66</v>
      </c>
      <c r="I225" s="18"/>
      <c r="J225" s="18"/>
      <c r="K225" s="18"/>
      <c r="L225" s="19">
        <f t="shared" si="2"/>
        <v>116186.66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116186.66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116186.66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479755.32</v>
      </c>
      <c r="I233" s="18">
        <v>0</v>
      </c>
      <c r="J233" s="18">
        <v>0</v>
      </c>
      <c r="K233" s="18">
        <v>0</v>
      </c>
      <c r="L233" s="19">
        <f>SUM(F233:K233)</f>
        <v>479755.32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170273.56</v>
      </c>
      <c r="I243" s="18"/>
      <c r="J243" s="18"/>
      <c r="K243" s="18"/>
      <c r="L243" s="19">
        <f t="shared" si="4"/>
        <v>170273.56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650028.88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650028.88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4633866.0499999989</v>
      </c>
      <c r="G256" s="41">
        <f t="shared" si="8"/>
        <v>2218073.4299999997</v>
      </c>
      <c r="H256" s="41">
        <f t="shared" si="8"/>
        <v>3657576.31</v>
      </c>
      <c r="I256" s="41">
        <f t="shared" si="8"/>
        <v>241749.14</v>
      </c>
      <c r="J256" s="41">
        <f t="shared" si="8"/>
        <v>67049.53</v>
      </c>
      <c r="K256" s="41">
        <f t="shared" si="8"/>
        <v>23997.360000000001</v>
      </c>
      <c r="L256" s="41">
        <f t="shared" si="8"/>
        <v>10842311.82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200000</v>
      </c>
      <c r="L259" s="19">
        <f>SUM(F259:K259)</f>
        <v>200000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50825</v>
      </c>
      <c r="L260" s="19">
        <f>SUM(F260:K260)</f>
        <v>50825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85000</v>
      </c>
      <c r="L265" s="19">
        <f t="shared" si="9"/>
        <v>85000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335825</v>
      </c>
      <c r="L269" s="41">
        <f t="shared" si="9"/>
        <v>335825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4633866.0499999989</v>
      </c>
      <c r="G270" s="42">
        <f t="shared" si="11"/>
        <v>2218073.4299999997</v>
      </c>
      <c r="H270" s="42">
        <f t="shared" si="11"/>
        <v>3657576.31</v>
      </c>
      <c r="I270" s="42">
        <f t="shared" si="11"/>
        <v>241749.14</v>
      </c>
      <c r="J270" s="42">
        <f t="shared" si="11"/>
        <v>67049.53</v>
      </c>
      <c r="K270" s="42">
        <f t="shared" si="11"/>
        <v>359822.36</v>
      </c>
      <c r="L270" s="42">
        <f t="shared" si="11"/>
        <v>11178136.82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0</v>
      </c>
      <c r="H275" s="18">
        <v>900</v>
      </c>
      <c r="I275" s="18">
        <v>976.74</v>
      </c>
      <c r="J275" s="18">
        <v>0</v>
      </c>
      <c r="K275" s="18">
        <v>0</v>
      </c>
      <c r="L275" s="19">
        <f>SUM(F275:K275)</f>
        <v>1876.74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89149.18</v>
      </c>
      <c r="G276" s="18">
        <v>2334.15</v>
      </c>
      <c r="H276" s="18">
        <v>0</v>
      </c>
      <c r="I276" s="18">
        <v>1781.58</v>
      </c>
      <c r="J276" s="18">
        <v>14307.22</v>
      </c>
      <c r="K276" s="18">
        <v>0</v>
      </c>
      <c r="L276" s="19">
        <f>SUM(F276:K276)</f>
        <v>107572.12999999999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89149.18</v>
      </c>
      <c r="G289" s="42">
        <f t="shared" si="13"/>
        <v>2334.15</v>
      </c>
      <c r="H289" s="42">
        <f t="shared" si="13"/>
        <v>900</v>
      </c>
      <c r="I289" s="42">
        <f t="shared" si="13"/>
        <v>2758.3199999999997</v>
      </c>
      <c r="J289" s="42">
        <f t="shared" si="13"/>
        <v>14307.22</v>
      </c>
      <c r="K289" s="42">
        <f t="shared" si="13"/>
        <v>0</v>
      </c>
      <c r="L289" s="41">
        <f t="shared" si="13"/>
        <v>109448.87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89149.18</v>
      </c>
      <c r="G337" s="41">
        <f t="shared" si="20"/>
        <v>2334.15</v>
      </c>
      <c r="H337" s="41">
        <f t="shared" si="20"/>
        <v>900</v>
      </c>
      <c r="I337" s="41">
        <f t="shared" si="20"/>
        <v>2758.3199999999997</v>
      </c>
      <c r="J337" s="41">
        <f t="shared" si="20"/>
        <v>14307.22</v>
      </c>
      <c r="K337" s="41">
        <f t="shared" si="20"/>
        <v>0</v>
      </c>
      <c r="L337" s="41">
        <f t="shared" si="20"/>
        <v>109448.87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89149.18</v>
      </c>
      <c r="G351" s="41">
        <f>G337</f>
        <v>2334.15</v>
      </c>
      <c r="H351" s="41">
        <f>H337</f>
        <v>900</v>
      </c>
      <c r="I351" s="41">
        <f>I337</f>
        <v>2758.3199999999997</v>
      </c>
      <c r="J351" s="41">
        <f>J337</f>
        <v>14307.22</v>
      </c>
      <c r="K351" s="47">
        <f>K337+K350</f>
        <v>0</v>
      </c>
      <c r="L351" s="41">
        <f>L337+L350</f>
        <v>109448.87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55011.46</v>
      </c>
      <c r="G357" s="18">
        <v>7349.73</v>
      </c>
      <c r="H357" s="18">
        <v>1536.6</v>
      </c>
      <c r="I357" s="18">
        <v>72180.11</v>
      </c>
      <c r="J357" s="18">
        <v>28009</v>
      </c>
      <c r="K357" s="18"/>
      <c r="L357" s="13">
        <f>SUM(F357:K357)</f>
        <v>164086.9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55011.46</v>
      </c>
      <c r="G361" s="47">
        <f t="shared" si="22"/>
        <v>7349.73</v>
      </c>
      <c r="H361" s="47">
        <f t="shared" si="22"/>
        <v>1536.6</v>
      </c>
      <c r="I361" s="47">
        <f t="shared" si="22"/>
        <v>72180.11</v>
      </c>
      <c r="J361" s="47">
        <f t="shared" si="22"/>
        <v>28009</v>
      </c>
      <c r="K361" s="47">
        <f t="shared" si="22"/>
        <v>0</v>
      </c>
      <c r="L361" s="47">
        <f t="shared" si="22"/>
        <v>164086.9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71746.47</v>
      </c>
      <c r="G366" s="18"/>
      <c r="H366" s="18"/>
      <c r="I366" s="56">
        <f>SUM(F366:H366)</f>
        <v>71746.47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433.64</v>
      </c>
      <c r="G367" s="63"/>
      <c r="H367" s="63"/>
      <c r="I367" s="56">
        <f>SUM(F367:H367)</f>
        <v>433.64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72180.11</v>
      </c>
      <c r="G368" s="47">
        <f>SUM(G366:G367)</f>
        <v>0</v>
      </c>
      <c r="H368" s="47">
        <f>SUM(H366:H367)</f>
        <v>0</v>
      </c>
      <c r="I368" s="47">
        <f>SUM(I366:I367)</f>
        <v>72180.11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25000</v>
      </c>
      <c r="H395" s="18">
        <v>41.78</v>
      </c>
      <c r="I395" s="18"/>
      <c r="J395" s="24" t="s">
        <v>289</v>
      </c>
      <c r="K395" s="24" t="s">
        <v>289</v>
      </c>
      <c r="L395" s="56">
        <f t="shared" si="26"/>
        <v>25041.78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60000</v>
      </c>
      <c r="H396" s="18">
        <v>2.9</v>
      </c>
      <c r="I396" s="18"/>
      <c r="J396" s="24" t="s">
        <v>289</v>
      </c>
      <c r="K396" s="24" t="s">
        <v>289</v>
      </c>
      <c r="L396" s="56">
        <f t="shared" si="26"/>
        <v>60002.9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14.93</v>
      </c>
      <c r="I399" s="18"/>
      <c r="J399" s="24" t="s">
        <v>289</v>
      </c>
      <c r="K399" s="24" t="s">
        <v>289</v>
      </c>
      <c r="L399" s="56">
        <f t="shared" si="26"/>
        <v>14.93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85000</v>
      </c>
      <c r="H400" s="47">
        <f>SUM(H394:H399)</f>
        <v>59.61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85059.609999999986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85000</v>
      </c>
      <c r="H407" s="47">
        <f>H392+H400+H406</f>
        <v>59.61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85059.609999999986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70147.64</v>
      </c>
      <c r="L425" s="56">
        <f t="shared" si="29"/>
        <v>70147.64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70147.64</v>
      </c>
      <c r="L426" s="47">
        <f t="shared" si="30"/>
        <v>70147.64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70147.64</v>
      </c>
      <c r="L433" s="47">
        <f t="shared" si="32"/>
        <v>70147.64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140471.88</v>
      </c>
      <c r="H441" s="18"/>
      <c r="I441" s="56">
        <f t="shared" si="33"/>
        <v>140471.88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140471.88</v>
      </c>
      <c r="H445" s="13">
        <f>SUM(H438:H444)</f>
        <v>0</v>
      </c>
      <c r="I445" s="13">
        <f>SUM(I438:I444)</f>
        <v>140471.88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140471.88</v>
      </c>
      <c r="H458" s="18"/>
      <c r="I458" s="56">
        <f t="shared" si="34"/>
        <v>140471.88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140471.88</v>
      </c>
      <c r="H459" s="83">
        <f>SUM(H453:H458)</f>
        <v>0</v>
      </c>
      <c r="I459" s="83">
        <f>SUM(I453:I458)</f>
        <v>140471.88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140471.88</v>
      </c>
      <c r="H460" s="42">
        <f>H451+H459</f>
        <v>0</v>
      </c>
      <c r="I460" s="42">
        <f>I451+I459</f>
        <v>140471.88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-55375.7</v>
      </c>
      <c r="G464" s="18">
        <v>51064.08</v>
      </c>
      <c r="H464" s="18">
        <v>0</v>
      </c>
      <c r="I464" s="18"/>
      <c r="J464" s="18">
        <v>125559.91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11618255.41</v>
      </c>
      <c r="G467" s="18">
        <v>137666.49</v>
      </c>
      <c r="H467" s="18">
        <v>109448.87</v>
      </c>
      <c r="I467" s="18"/>
      <c r="J467" s="18">
        <v>85059.61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11618255.41</v>
      </c>
      <c r="G469" s="53">
        <f>SUM(G467:G468)</f>
        <v>137666.49</v>
      </c>
      <c r="H469" s="53">
        <f>SUM(H467:H468)</f>
        <v>109448.87</v>
      </c>
      <c r="I469" s="53">
        <f>SUM(I467:I468)</f>
        <v>0</v>
      </c>
      <c r="J469" s="53">
        <f>SUM(J467:J468)</f>
        <v>85059.61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11178136.82</v>
      </c>
      <c r="G471" s="18">
        <v>164086.9</v>
      </c>
      <c r="H471" s="18">
        <v>109448.87</v>
      </c>
      <c r="I471" s="18"/>
      <c r="J471" s="18">
        <v>70147.64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11178136.82</v>
      </c>
      <c r="G473" s="53">
        <f>SUM(G471:G472)</f>
        <v>164086.9</v>
      </c>
      <c r="H473" s="53">
        <f>SUM(H471:H472)</f>
        <v>109448.87</v>
      </c>
      <c r="I473" s="53">
        <f>SUM(I471:I472)</f>
        <v>0</v>
      </c>
      <c r="J473" s="53">
        <f>SUM(J471:J472)</f>
        <v>70147.64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384742.8900000006</v>
      </c>
      <c r="G475" s="53">
        <f>(G464+G469)- G473</f>
        <v>24643.670000000013</v>
      </c>
      <c r="H475" s="53">
        <f>(H464+H469)- H473</f>
        <v>0</v>
      </c>
      <c r="I475" s="53">
        <f>(I464+I469)- I473</f>
        <v>0</v>
      </c>
      <c r="J475" s="53">
        <f>(J464+J469)- J473</f>
        <v>140471.88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3985000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5.23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785000</v>
      </c>
      <c r="G494" s="18"/>
      <c r="H494" s="18"/>
      <c r="I494" s="18"/>
      <c r="J494" s="18"/>
      <c r="K494" s="53">
        <f>SUM(F494:J494)</f>
        <v>785000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200000</v>
      </c>
      <c r="G496" s="18"/>
      <c r="H496" s="18"/>
      <c r="I496" s="18"/>
      <c r="J496" s="18"/>
      <c r="K496" s="53">
        <f t="shared" si="35"/>
        <v>200000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585000</v>
      </c>
      <c r="G497" s="205"/>
      <c r="H497" s="205"/>
      <c r="I497" s="205"/>
      <c r="J497" s="205"/>
      <c r="K497" s="206">
        <f t="shared" si="35"/>
        <v>585000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76050</v>
      </c>
      <c r="G498" s="18"/>
      <c r="H498" s="18"/>
      <c r="I498" s="18"/>
      <c r="J498" s="18"/>
      <c r="K498" s="53">
        <f t="shared" si="35"/>
        <v>76050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661050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661050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195000</v>
      </c>
      <c r="G500" s="205"/>
      <c r="H500" s="205"/>
      <c r="I500" s="205"/>
      <c r="J500" s="205"/>
      <c r="K500" s="206">
        <f t="shared" si="35"/>
        <v>195000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38025</v>
      </c>
      <c r="G501" s="18"/>
      <c r="H501" s="18"/>
      <c r="I501" s="18"/>
      <c r="J501" s="18"/>
      <c r="K501" s="53">
        <f t="shared" si="35"/>
        <v>38025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233025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233025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1228313.57</v>
      </c>
      <c r="G520" s="18">
        <v>538303.93000000005</v>
      </c>
      <c r="H520" s="18">
        <v>173445.61</v>
      </c>
      <c r="I520" s="18">
        <v>9797.36</v>
      </c>
      <c r="J520" s="18">
        <v>17030.439999999999</v>
      </c>
      <c r="K520" s="18">
        <v>125</v>
      </c>
      <c r="L520" s="88">
        <f>SUM(F520:K520)</f>
        <v>1967015.91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479755.32</v>
      </c>
      <c r="I522" s="18">
        <v>0</v>
      </c>
      <c r="J522" s="18">
        <v>0</v>
      </c>
      <c r="K522" s="18">
        <v>0</v>
      </c>
      <c r="L522" s="88">
        <f>SUM(F522:K522)</f>
        <v>479755.32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1228313.57</v>
      </c>
      <c r="G523" s="108">
        <f t="shared" ref="G523:L523" si="36">SUM(G520:G522)</f>
        <v>538303.93000000005</v>
      </c>
      <c r="H523" s="108">
        <f t="shared" si="36"/>
        <v>653200.92999999993</v>
      </c>
      <c r="I523" s="108">
        <f t="shared" si="36"/>
        <v>9797.36</v>
      </c>
      <c r="J523" s="108">
        <f t="shared" si="36"/>
        <v>17030.439999999999</v>
      </c>
      <c r="K523" s="108">
        <f t="shared" si="36"/>
        <v>125</v>
      </c>
      <c r="L523" s="89">
        <f t="shared" si="36"/>
        <v>2446771.23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0</v>
      </c>
      <c r="H525" s="18">
        <v>81692.06</v>
      </c>
      <c r="I525" s="18">
        <v>0</v>
      </c>
      <c r="J525" s="18">
        <v>0</v>
      </c>
      <c r="K525" s="18">
        <v>0</v>
      </c>
      <c r="L525" s="88">
        <f>SUM(F525:K525)</f>
        <v>81692.06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81692.06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81692.06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34653</v>
      </c>
      <c r="G530" s="18">
        <v>12923</v>
      </c>
      <c r="H530" s="18">
        <v>1145</v>
      </c>
      <c r="I530" s="18">
        <v>0</v>
      </c>
      <c r="J530" s="18">
        <v>0</v>
      </c>
      <c r="K530" s="18">
        <v>0</v>
      </c>
      <c r="L530" s="88">
        <f>SUM(F530:K530)</f>
        <v>48721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34653</v>
      </c>
      <c r="G533" s="89">
        <f t="shared" ref="G533:L533" si="38">SUM(G530:G532)</f>
        <v>12923</v>
      </c>
      <c r="H533" s="89">
        <f t="shared" si="38"/>
        <v>1145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48721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3633.66</v>
      </c>
      <c r="I535" s="18">
        <v>0</v>
      </c>
      <c r="J535" s="18">
        <v>0</v>
      </c>
      <c r="K535" s="18">
        <v>0</v>
      </c>
      <c r="L535" s="88">
        <f>SUM(F535:K535)</f>
        <v>3633.66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3633.66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3633.66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93786.23</v>
      </c>
      <c r="I540" s="18">
        <v>0</v>
      </c>
      <c r="J540" s="18">
        <v>0</v>
      </c>
      <c r="K540" s="18">
        <v>0</v>
      </c>
      <c r="L540" s="88">
        <f>SUM(F540:K540)</f>
        <v>93786.23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93786.23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93786.23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1262966.57</v>
      </c>
      <c r="G544" s="89">
        <f t="shared" ref="G544:L544" si="41">G523+G528+G533+G538+G543</f>
        <v>551226.93000000005</v>
      </c>
      <c r="H544" s="89">
        <f t="shared" si="41"/>
        <v>833457.88</v>
      </c>
      <c r="I544" s="89">
        <f t="shared" si="41"/>
        <v>9797.36</v>
      </c>
      <c r="J544" s="89">
        <f t="shared" si="41"/>
        <v>17030.439999999999</v>
      </c>
      <c r="K544" s="89">
        <f t="shared" si="41"/>
        <v>125</v>
      </c>
      <c r="L544" s="89">
        <f t="shared" si="41"/>
        <v>2674604.1800000002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1967015.91</v>
      </c>
      <c r="G548" s="87">
        <f>L525</f>
        <v>81692.06</v>
      </c>
      <c r="H548" s="87">
        <f>L530</f>
        <v>48721</v>
      </c>
      <c r="I548" s="87">
        <f>L535</f>
        <v>3633.66</v>
      </c>
      <c r="J548" s="87">
        <f>L540</f>
        <v>93786.23</v>
      </c>
      <c r="K548" s="87">
        <f>SUM(F548:J548)</f>
        <v>2194848.86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479755.32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479755.32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2446771.23</v>
      </c>
      <c r="G551" s="89">
        <f t="shared" si="42"/>
        <v>81692.06</v>
      </c>
      <c r="H551" s="89">
        <f t="shared" si="42"/>
        <v>48721</v>
      </c>
      <c r="I551" s="89">
        <f t="shared" si="42"/>
        <v>3633.66</v>
      </c>
      <c r="J551" s="89">
        <f t="shared" si="42"/>
        <v>93786.23</v>
      </c>
      <c r="K551" s="89">
        <f t="shared" si="42"/>
        <v>2674604.1799999997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1863907</v>
      </c>
      <c r="G574" s="18"/>
      <c r="H574" s="18"/>
      <c r="I574" s="87">
        <f>SUM(F574:H574)</f>
        <v>1863907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91529</v>
      </c>
      <c r="G578" s="18">
        <v>0</v>
      </c>
      <c r="H578" s="18">
        <v>0</v>
      </c>
      <c r="I578" s="87">
        <f t="shared" si="47"/>
        <v>91529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42339.3</v>
      </c>
      <c r="I579" s="87">
        <f t="shared" si="47"/>
        <v>42339.3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27496.3</v>
      </c>
      <c r="G582" s="18">
        <v>0</v>
      </c>
      <c r="H582" s="18">
        <v>437416.02</v>
      </c>
      <c r="I582" s="87">
        <f t="shared" si="47"/>
        <v>464912.32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179889.01</v>
      </c>
      <c r="I590" s="18">
        <v>116186.66</v>
      </c>
      <c r="J590" s="18">
        <v>170273.56000000006</v>
      </c>
      <c r="K590" s="104">
        <f t="shared" ref="K590:K596" si="48">SUM(H590:J590)</f>
        <v>466349.2300000001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93786.23</v>
      </c>
      <c r="I591" s="18"/>
      <c r="J591" s="18"/>
      <c r="K591" s="104">
        <f t="shared" si="48"/>
        <v>93786.23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273675.24</v>
      </c>
      <c r="I597" s="108">
        <f>SUM(I590:I596)</f>
        <v>116186.66</v>
      </c>
      <c r="J597" s="108">
        <f>SUM(J590:J596)</f>
        <v>170273.56000000006</v>
      </c>
      <c r="K597" s="108">
        <f>SUM(K590:K596)</f>
        <v>560135.46000000008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81356.75</v>
      </c>
      <c r="I603" s="18"/>
      <c r="J603" s="18"/>
      <c r="K603" s="104">
        <f>SUM(H603:J603)</f>
        <v>81356.75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81356.75</v>
      </c>
      <c r="I604" s="108">
        <f>SUM(I601:I603)</f>
        <v>0</v>
      </c>
      <c r="J604" s="108">
        <f>SUM(J601:J603)</f>
        <v>0</v>
      </c>
      <c r="K604" s="108">
        <f>SUM(K601:K603)</f>
        <v>81356.75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33988.85</v>
      </c>
      <c r="G610" s="18">
        <v>1251.19</v>
      </c>
      <c r="H610" s="18">
        <v>13989.380000000001</v>
      </c>
      <c r="I610" s="18"/>
      <c r="J610" s="18"/>
      <c r="K610" s="18"/>
      <c r="L610" s="88">
        <f>SUM(F610:K610)</f>
        <v>49229.42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33988.85</v>
      </c>
      <c r="G613" s="108">
        <f t="shared" si="49"/>
        <v>1251.19</v>
      </c>
      <c r="H613" s="108">
        <f t="shared" si="49"/>
        <v>13989.380000000001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49229.42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528532.17000000004</v>
      </c>
      <c r="H616" s="109">
        <f>SUM(F51)</f>
        <v>528532.17000000004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3061.29</v>
      </c>
      <c r="H617" s="109">
        <f>SUM(G51)</f>
        <v>3061.2900000000045</v>
      </c>
      <c r="I617" s="121" t="s">
        <v>902</v>
      </c>
      <c r="J617" s="109">
        <f>G617-H617</f>
        <v>-4.5474735088646412E-12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17536.45</v>
      </c>
      <c r="H618" s="109">
        <f>SUM(H51)</f>
        <v>17536.45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140471.88</v>
      </c>
      <c r="H620" s="109">
        <f>SUM(J51)</f>
        <v>140471.88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384742.89</v>
      </c>
      <c r="H621" s="109">
        <f>F475</f>
        <v>384742.8900000006</v>
      </c>
      <c r="I621" s="121" t="s">
        <v>101</v>
      </c>
      <c r="J621" s="109">
        <f t="shared" ref="J621:J654" si="50">G621-H621</f>
        <v>-5.8207660913467407E-10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24643.670000000002</v>
      </c>
      <c r="H622" s="109">
        <f>G475</f>
        <v>24643.670000000013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140471.88</v>
      </c>
      <c r="H625" s="109">
        <f>J475</f>
        <v>140471.88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11618255.41</v>
      </c>
      <c r="H626" s="104">
        <f>SUM(F467)</f>
        <v>11618255.41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137666.49000000002</v>
      </c>
      <c r="H627" s="104">
        <f>SUM(G467)</f>
        <v>137666.49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109448.87</v>
      </c>
      <c r="H628" s="104">
        <f>SUM(H467)</f>
        <v>109448.87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85059.61</v>
      </c>
      <c r="H630" s="104">
        <f>SUM(J467)</f>
        <v>85059.61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11178136.82</v>
      </c>
      <c r="H631" s="104">
        <f>SUM(F471)</f>
        <v>11178136.82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109448.87</v>
      </c>
      <c r="H632" s="104">
        <f>SUM(H471)</f>
        <v>109448.87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72180.11</v>
      </c>
      <c r="H633" s="104">
        <f>I368</f>
        <v>72180.11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164086.9</v>
      </c>
      <c r="H634" s="104">
        <f>SUM(G471)</f>
        <v>164086.9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85059.609999999986</v>
      </c>
      <c r="H636" s="164">
        <f>SUM(J467)</f>
        <v>85059.61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70147.64</v>
      </c>
      <c r="H637" s="164">
        <f>SUM(J471)</f>
        <v>70147.64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140471.88</v>
      </c>
      <c r="H639" s="104">
        <f>SUM(G460)</f>
        <v>140471.88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140471.88</v>
      </c>
      <c r="H641" s="104">
        <f>SUM(I460)</f>
        <v>140471.88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59.61</v>
      </c>
      <c r="H643" s="104">
        <f>H407</f>
        <v>59.61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85000</v>
      </c>
      <c r="H644" s="104">
        <f>G407</f>
        <v>85000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85059.61</v>
      </c>
      <c r="H645" s="104">
        <f>L407</f>
        <v>85059.609999999986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560135.46000000008</v>
      </c>
      <c r="H646" s="104">
        <f>L207+L225+L243</f>
        <v>560135.46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81356.75</v>
      </c>
      <c r="H647" s="104">
        <f>(J256+J337)-(J254+J335)</f>
        <v>81356.75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273675.24</v>
      </c>
      <c r="H648" s="104">
        <f>H597</f>
        <v>273675.24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116186.66</v>
      </c>
      <c r="H649" s="104">
        <f>I597</f>
        <v>116186.66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170273.56</v>
      </c>
      <c r="H650" s="104">
        <f>J597</f>
        <v>170273.56000000006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85000</v>
      </c>
      <c r="H654" s="104">
        <f>K265+K346</f>
        <v>85000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10349632.049999999</v>
      </c>
      <c r="G659" s="19">
        <f>(L228+L308+L358)</f>
        <v>116186.66</v>
      </c>
      <c r="H659" s="19">
        <f>(L246+L327+L359)</f>
        <v>650028.88</v>
      </c>
      <c r="I659" s="19">
        <f>SUM(F659:H659)</f>
        <v>11115847.59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120616.54000000001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120616.54000000001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273675.24</v>
      </c>
      <c r="G661" s="19">
        <f>(L225+L305)-(J225+J305)</f>
        <v>116186.66</v>
      </c>
      <c r="H661" s="19">
        <f>(L243+L324)-(J243+J324)</f>
        <v>170273.56</v>
      </c>
      <c r="I661" s="19">
        <f>SUM(F661:H661)</f>
        <v>560135.46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2113518.4700000002</v>
      </c>
      <c r="G662" s="200">
        <f>SUM(G574:G586)+SUM(I601:I603)+L611</f>
        <v>0</v>
      </c>
      <c r="H662" s="200">
        <f>SUM(H574:H586)+SUM(J601:J603)+L612</f>
        <v>479755.32</v>
      </c>
      <c r="I662" s="19">
        <f>SUM(F662:H662)</f>
        <v>2593273.79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7841821.7999999989</v>
      </c>
      <c r="G663" s="19">
        <f>G659-SUM(G660:G662)</f>
        <v>0</v>
      </c>
      <c r="H663" s="19">
        <f>H659-SUM(H660:H662)</f>
        <v>0</v>
      </c>
      <c r="I663" s="19">
        <f>I659-SUM(I660:I662)</f>
        <v>7841821.7999999998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430.35</v>
      </c>
      <c r="G664" s="249"/>
      <c r="H664" s="249"/>
      <c r="I664" s="19">
        <f>SUM(F664:H664)</f>
        <v>430.35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18221.96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18221.96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18221.96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18221.96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9" sqref="B19:C2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Hanover</v>
      </c>
      <c r="C1" s="239" t="s">
        <v>839</v>
      </c>
    </row>
    <row r="2" spans="1:3">
      <c r="A2" s="234"/>
      <c r="B2" s="233"/>
    </row>
    <row r="3" spans="1:3">
      <c r="A3" s="276" t="s">
        <v>784</v>
      </c>
      <c r="B3" s="276"/>
      <c r="C3" s="276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5" t="s">
        <v>783</v>
      </c>
      <c r="C6" s="275"/>
    </row>
    <row r="7" spans="1:3">
      <c r="A7" s="240" t="s">
        <v>786</v>
      </c>
      <c r="B7" s="273" t="s">
        <v>782</v>
      </c>
      <c r="C7" s="274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2681028.31</v>
      </c>
      <c r="C9" s="230">
        <f>'DOE25'!G196+'DOE25'!G214+'DOE25'!G232+'DOE25'!G275+'DOE25'!G294+'DOE25'!G313</f>
        <v>1069847.78</v>
      </c>
    </row>
    <row r="10" spans="1:3">
      <c r="A10" t="s">
        <v>779</v>
      </c>
      <c r="B10" s="271">
        <v>2342774.3199999998</v>
      </c>
      <c r="C10" s="271">
        <v>934869.61549205333</v>
      </c>
    </row>
    <row r="11" spans="1:3">
      <c r="A11" t="s">
        <v>780</v>
      </c>
      <c r="B11" s="271">
        <v>250215.51</v>
      </c>
      <c r="C11" s="271">
        <v>99846.953087588918</v>
      </c>
    </row>
    <row r="12" spans="1:3">
      <c r="A12" t="s">
        <v>781</v>
      </c>
      <c r="B12" s="271">
        <v>88038.479999999981</v>
      </c>
      <c r="C12" s="271">
        <v>35131.211420357722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2681028.31</v>
      </c>
      <c r="C13" s="232">
        <f>SUM(C10:C12)</f>
        <v>1069847.78</v>
      </c>
    </row>
    <row r="14" spans="1:3">
      <c r="B14" s="231"/>
      <c r="C14" s="231"/>
    </row>
    <row r="15" spans="1:3">
      <c r="B15" s="275" t="s">
        <v>783</v>
      </c>
      <c r="C15" s="275"/>
    </row>
    <row r="16" spans="1:3">
      <c r="A16" s="240" t="s">
        <v>787</v>
      </c>
      <c r="B16" s="273" t="s">
        <v>707</v>
      </c>
      <c r="C16" s="274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1228313.5699999998</v>
      </c>
      <c r="C18" s="230">
        <f>'DOE25'!G197+'DOE25'!G215+'DOE25'!G233+'DOE25'!G276+'DOE25'!G295+'DOE25'!G314</f>
        <v>538303.93000000005</v>
      </c>
    </row>
    <row r="19" spans="1:3">
      <c r="A19" t="s">
        <v>779</v>
      </c>
      <c r="B19" s="272">
        <v>759629.14</v>
      </c>
      <c r="C19" s="272">
        <v>332904.6925733469</v>
      </c>
    </row>
    <row r="20" spans="1:3">
      <c r="A20" t="s">
        <v>780</v>
      </c>
      <c r="B20" s="272">
        <v>468684.43</v>
      </c>
      <c r="C20" s="272">
        <v>205399.2374266531</v>
      </c>
    </row>
    <row r="21" spans="1:3">
      <c r="A21" t="s">
        <v>781</v>
      </c>
      <c r="B21" s="272">
        <v>0</v>
      </c>
      <c r="C21" s="272">
        <v>0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1228313.57</v>
      </c>
      <c r="C22" s="232">
        <f>SUM(C19:C21)</f>
        <v>538303.92999999993</v>
      </c>
    </row>
    <row r="23" spans="1:3">
      <c r="B23" s="231"/>
      <c r="C23" s="231"/>
    </row>
    <row r="24" spans="1:3">
      <c r="B24" s="275" t="s">
        <v>783</v>
      </c>
      <c r="C24" s="275"/>
    </row>
    <row r="25" spans="1:3">
      <c r="A25" s="240" t="s">
        <v>788</v>
      </c>
      <c r="B25" s="273" t="s">
        <v>708</v>
      </c>
      <c r="C25" s="274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5" t="s">
        <v>783</v>
      </c>
      <c r="C33" s="275"/>
    </row>
    <row r="34" spans="1:3">
      <c r="A34" s="240" t="s">
        <v>789</v>
      </c>
      <c r="B34" s="273" t="s">
        <v>709</v>
      </c>
      <c r="C34" s="274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>
      <c r="A2" s="33" t="s">
        <v>717</v>
      </c>
      <c r="B2" s="266" t="str">
        <f>'DOE25'!A2</f>
        <v>Hanover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8177408.5600000005</v>
      </c>
      <c r="D5" s="20">
        <f>SUM('DOE25'!L196:L199)+SUM('DOE25'!L214:L217)+SUM('DOE25'!L232:L235)-F5-G5</f>
        <v>8103627.1800000006</v>
      </c>
      <c r="E5" s="244"/>
      <c r="F5" s="256">
        <f>SUM('DOE25'!J196:J199)+SUM('DOE25'!J214:J217)+SUM('DOE25'!J232:J235)</f>
        <v>58289.67</v>
      </c>
      <c r="G5" s="53">
        <f>SUM('DOE25'!K196:K199)+SUM('DOE25'!K214:K217)+SUM('DOE25'!K232:K235)</f>
        <v>15491.71</v>
      </c>
      <c r="H5" s="260"/>
    </row>
    <row r="6" spans="1:9">
      <c r="A6" s="32">
        <v>2100</v>
      </c>
      <c r="B6" t="s">
        <v>801</v>
      </c>
      <c r="C6" s="246">
        <f t="shared" si="0"/>
        <v>282916.62</v>
      </c>
      <c r="D6" s="20">
        <f>'DOE25'!L201+'DOE25'!L219+'DOE25'!L237-F6-G6</f>
        <v>282691.62</v>
      </c>
      <c r="E6" s="244"/>
      <c r="F6" s="256">
        <f>'DOE25'!J201+'DOE25'!J219+'DOE25'!J237</f>
        <v>0</v>
      </c>
      <c r="G6" s="53">
        <f>'DOE25'!K201+'DOE25'!K219+'DOE25'!K237</f>
        <v>225</v>
      </c>
      <c r="H6" s="260"/>
    </row>
    <row r="7" spans="1:9">
      <c r="A7" s="32">
        <v>2200</v>
      </c>
      <c r="B7" t="s">
        <v>834</v>
      </c>
      <c r="C7" s="246">
        <f t="shared" si="0"/>
        <v>340729.22999999992</v>
      </c>
      <c r="D7" s="20">
        <f>'DOE25'!L202+'DOE25'!L220+'DOE25'!L238-F7-G7</f>
        <v>335766.85999999993</v>
      </c>
      <c r="E7" s="244"/>
      <c r="F7" s="256">
        <f>'DOE25'!J202+'DOE25'!J220+'DOE25'!J238</f>
        <v>4962.37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178634.99999999997</v>
      </c>
      <c r="D8" s="244"/>
      <c r="E8" s="20">
        <f>'DOE25'!L203+'DOE25'!L221+'DOE25'!L239-F8-G8-D9-D11</f>
        <v>171113.34999999998</v>
      </c>
      <c r="F8" s="256">
        <f>'DOE25'!J203+'DOE25'!J221+'DOE25'!J239</f>
        <v>0</v>
      </c>
      <c r="G8" s="53">
        <f>'DOE25'!K203+'DOE25'!K221+'DOE25'!K239</f>
        <v>7521.65</v>
      </c>
      <c r="H8" s="260"/>
    </row>
    <row r="9" spans="1:9">
      <c r="A9" s="32">
        <v>2310</v>
      </c>
      <c r="B9" t="s">
        <v>818</v>
      </c>
      <c r="C9" s="246">
        <f t="shared" si="0"/>
        <v>39758.83</v>
      </c>
      <c r="D9" s="245">
        <v>39758.83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10000</v>
      </c>
      <c r="D10" s="244"/>
      <c r="E10" s="245">
        <v>10000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101958</v>
      </c>
      <c r="D11" s="245">
        <v>101958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625395.84</v>
      </c>
      <c r="D12" s="20">
        <f>'DOE25'!L204+'DOE25'!L222+'DOE25'!L240-F12-G12</f>
        <v>622310.5</v>
      </c>
      <c r="E12" s="244"/>
      <c r="F12" s="256">
        <f>'DOE25'!J204+'DOE25'!J222+'DOE25'!J240</f>
        <v>2326.34</v>
      </c>
      <c r="G12" s="53">
        <f>'DOE25'!K204+'DOE25'!K222+'DOE25'!K240</f>
        <v>759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489322.94000000006</v>
      </c>
      <c r="D14" s="20">
        <f>'DOE25'!L206+'DOE25'!L224+'DOE25'!L242-F14-G14</f>
        <v>487851.79000000004</v>
      </c>
      <c r="E14" s="244"/>
      <c r="F14" s="256">
        <f>'DOE25'!J206+'DOE25'!J224+'DOE25'!J242</f>
        <v>1471.15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560135.46</v>
      </c>
      <c r="D15" s="20">
        <f>'DOE25'!L207+'DOE25'!L225+'DOE25'!L243-F15-G15</f>
        <v>560135.46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46051.34</v>
      </c>
      <c r="D16" s="244"/>
      <c r="E16" s="20">
        <f>'DOE25'!L208+'DOE25'!L226+'DOE25'!L244-F16-G16</f>
        <v>46051.34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250825</v>
      </c>
      <c r="D25" s="244"/>
      <c r="E25" s="244"/>
      <c r="F25" s="259"/>
      <c r="G25" s="257"/>
      <c r="H25" s="258">
        <f>'DOE25'!L259+'DOE25'!L260+'DOE25'!L340+'DOE25'!L341</f>
        <v>250825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92340.43</v>
      </c>
      <c r="D29" s="20">
        <f>'DOE25'!L357+'DOE25'!L358+'DOE25'!L359-'DOE25'!I366-F29-G29</f>
        <v>64331.429999999993</v>
      </c>
      <c r="E29" s="244"/>
      <c r="F29" s="256">
        <f>'DOE25'!J357+'DOE25'!J358+'DOE25'!J359</f>
        <v>28009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109448.87</v>
      </c>
      <c r="D31" s="20">
        <f>'DOE25'!L289+'DOE25'!L308+'DOE25'!L327+'DOE25'!L332+'DOE25'!L333+'DOE25'!L334-F31-G31</f>
        <v>95141.65</v>
      </c>
      <c r="E31" s="244"/>
      <c r="F31" s="256">
        <f>'DOE25'!J289+'DOE25'!J308+'DOE25'!J327+'DOE25'!J332+'DOE25'!J333+'DOE25'!J334</f>
        <v>14307.22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10693573.320000002</v>
      </c>
      <c r="E33" s="247">
        <f>SUM(E5:E31)</f>
        <v>227164.68999999997</v>
      </c>
      <c r="F33" s="247">
        <f>SUM(F5:F31)</f>
        <v>109365.75</v>
      </c>
      <c r="G33" s="247">
        <f>SUM(G5:G31)</f>
        <v>23997.360000000001</v>
      </c>
      <c r="H33" s="247">
        <f>SUM(H5:H31)</f>
        <v>250825</v>
      </c>
    </row>
    <row r="35" spans="2:8" ht="12" thickBot="1">
      <c r="B35" s="254" t="s">
        <v>847</v>
      </c>
      <c r="D35" s="255">
        <f>E33</f>
        <v>227164.68999999997</v>
      </c>
      <c r="E35" s="250"/>
    </row>
    <row r="36" spans="2:8" ht="12" thickTop="1">
      <c r="B36" t="s">
        <v>815</v>
      </c>
      <c r="D36" s="20">
        <f>D33</f>
        <v>10693573.320000002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Hanover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111523.9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404067.36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1446.48</v>
      </c>
      <c r="D12" s="95">
        <f>'DOE25'!G13</f>
        <v>3061.29</v>
      </c>
      <c r="E12" s="95">
        <f>'DOE25'!H13</f>
        <v>17536.45</v>
      </c>
      <c r="F12" s="95">
        <f>'DOE25'!I13</f>
        <v>0</v>
      </c>
      <c r="G12" s="95">
        <f>'DOE25'!J13</f>
        <v>140471.88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7738.54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3755.89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528532.17000000004</v>
      </c>
      <c r="D18" s="41">
        <f>SUM(D8:D17)</f>
        <v>3061.29</v>
      </c>
      <c r="E18" s="41">
        <f>SUM(E8:E17)</f>
        <v>17536.45</v>
      </c>
      <c r="F18" s="41">
        <f>SUM(F8:F17)</f>
        <v>0</v>
      </c>
      <c r="G18" s="41">
        <f>SUM(G8:G17)</f>
        <v>140471.88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39209.550000000003</v>
      </c>
      <c r="D21" s="95">
        <f>'DOE25'!G22</f>
        <v>-57000.53</v>
      </c>
      <c r="E21" s="95">
        <f>'DOE25'!H22</f>
        <v>17536.45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72021.260000000009</v>
      </c>
      <c r="D23" s="95">
        <f>'DOE25'!G24</f>
        <v>26766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4455</v>
      </c>
      <c r="D29" s="95">
        <f>'DOE25'!G30</f>
        <v>8652.15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28103.47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143789.28000000003</v>
      </c>
      <c r="D31" s="41">
        <f>SUM(D21:D30)</f>
        <v>-21582.379999999997</v>
      </c>
      <c r="E31" s="41">
        <f>SUM(E21:E30)</f>
        <v>17536.45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140471.88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24643.670000000002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384742.89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384742.89</v>
      </c>
      <c r="D49" s="41">
        <f>SUM(D34:D48)</f>
        <v>24643.670000000002</v>
      </c>
      <c r="E49" s="41">
        <f>SUM(E34:E48)</f>
        <v>0</v>
      </c>
      <c r="F49" s="41">
        <f>SUM(F34:F48)</f>
        <v>0</v>
      </c>
      <c r="G49" s="41">
        <f>SUM(G34:G48)</f>
        <v>140471.88</v>
      </c>
      <c r="H49" s="124"/>
      <c r="I49" s="124"/>
    </row>
    <row r="50" spans="1:9" ht="12" thickTop="1">
      <c r="A50" s="38" t="s">
        <v>895</v>
      </c>
      <c r="B50" s="2"/>
      <c r="C50" s="41">
        <f>C49+C31</f>
        <v>528532.17000000004</v>
      </c>
      <c r="D50" s="41">
        <f>D49+D31</f>
        <v>3061.2900000000045</v>
      </c>
      <c r="E50" s="41">
        <f>E49+E31</f>
        <v>17536.45</v>
      </c>
      <c r="F50" s="41">
        <f>F49+F31</f>
        <v>0</v>
      </c>
      <c r="G50" s="41">
        <f>G49+G31</f>
        <v>140471.88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8579328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6465.62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1050.46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59.61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119256.1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196380.84</v>
      </c>
      <c r="D60" s="95">
        <f>SUM('DOE25'!G97:G109)</f>
        <v>1360.44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203896.91999999998</v>
      </c>
      <c r="D61" s="130">
        <f>SUM(D56:D60)</f>
        <v>120616.54000000001</v>
      </c>
      <c r="E61" s="130">
        <f>SUM(E56:E60)</f>
        <v>0</v>
      </c>
      <c r="F61" s="130">
        <f>SUM(F56:F60)</f>
        <v>0</v>
      </c>
      <c r="G61" s="130">
        <f>SUM(G56:G60)</f>
        <v>59.61</v>
      </c>
      <c r="H61"/>
      <c r="I61"/>
    </row>
    <row r="62" spans="1:9" ht="12" thickTop="1">
      <c r="A62" s="29" t="s">
        <v>175</v>
      </c>
      <c r="B62" s="6"/>
      <c r="C62" s="22">
        <f>C55+C61</f>
        <v>8783224.9199999999</v>
      </c>
      <c r="D62" s="22">
        <f>D55+D61</f>
        <v>120616.54000000001</v>
      </c>
      <c r="E62" s="22">
        <f>E55+E61</f>
        <v>0</v>
      </c>
      <c r="F62" s="22">
        <f>F55+F61</f>
        <v>0</v>
      </c>
      <c r="G62" s="22">
        <f>G55+G61</f>
        <v>59.61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2205126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7361.82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2212487.8199999998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166923.72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251785.56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1708.28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418709.28</v>
      </c>
      <c r="D77" s="130">
        <f>SUM(D71:D76)</f>
        <v>1708.28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2631197.0999999996</v>
      </c>
      <c r="D80" s="130">
        <f>SUM(D78:D79)+D77+D69</f>
        <v>1708.28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44938.78</v>
      </c>
      <c r="D84" s="95">
        <f>'DOE25'!G146</f>
        <v>0</v>
      </c>
      <c r="E84" s="95">
        <f>'DOE25'!H146</f>
        <v>13516.71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87523.57</v>
      </c>
      <c r="D87" s="95">
        <f>SUM('DOE25'!G152:G160)</f>
        <v>15341.67</v>
      </c>
      <c r="E87" s="95">
        <f>SUM('DOE25'!H152:H160)</f>
        <v>95932.160000000003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1223.4000000000001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133685.75</v>
      </c>
      <c r="D90" s="131">
        <f>SUM(D84:D89)</f>
        <v>15341.67</v>
      </c>
      <c r="E90" s="131">
        <f>SUM(E84:E89)</f>
        <v>109448.87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85000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70147.64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70147.64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85000</v>
      </c>
    </row>
    <row r="103" spans="1:7" ht="12.75" thickTop="1" thickBot="1">
      <c r="A103" s="33" t="s">
        <v>765</v>
      </c>
      <c r="C103" s="86">
        <f>C62+C80+C90+C102</f>
        <v>11618255.41</v>
      </c>
      <c r="D103" s="86">
        <f>D62+D80+D90+D102</f>
        <v>137666.49000000002</v>
      </c>
      <c r="E103" s="86">
        <f>E62+E80+E90+E102</f>
        <v>109448.87</v>
      </c>
      <c r="F103" s="86">
        <f>F62+F80+F90+F102</f>
        <v>0</v>
      </c>
      <c r="G103" s="86">
        <f>G62+G80+G102</f>
        <v>85059.61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5810713.1600000001</v>
      </c>
      <c r="D108" s="24" t="s">
        <v>289</v>
      </c>
      <c r="E108" s="95">
        <f>('DOE25'!L275)+('DOE25'!L294)+('DOE25'!L313)</f>
        <v>1876.74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2366695.4</v>
      </c>
      <c r="D109" s="24" t="s">
        <v>289</v>
      </c>
      <c r="E109" s="95">
        <f>('DOE25'!L276)+('DOE25'!L295)+('DOE25'!L314)</f>
        <v>107572.12999999999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8177408.5600000005</v>
      </c>
      <c r="D114" s="86">
        <f>SUM(D108:D113)</f>
        <v>0</v>
      </c>
      <c r="E114" s="86">
        <f>SUM(E108:E113)</f>
        <v>109448.87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282916.62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340729.22999999992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320351.83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625395.84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489322.94000000006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560135.46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46051.34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164086.9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2664903.2599999998</v>
      </c>
      <c r="D127" s="86">
        <f>SUM(D117:D126)</f>
        <v>164086.9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50825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70147.64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85059.609999999986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-59.60999999998603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335825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70147.64</v>
      </c>
    </row>
    <row r="144" spans="1:7" ht="12.75" thickTop="1" thickBot="1">
      <c r="A144" s="33" t="s">
        <v>244</v>
      </c>
      <c r="C144" s="86">
        <f>(C114+C127+C143)</f>
        <v>11178136.82</v>
      </c>
      <c r="D144" s="86">
        <f>(D114+D127+D143)</f>
        <v>164086.9</v>
      </c>
      <c r="E144" s="86">
        <f>(E114+E127+E143)</f>
        <v>109448.87</v>
      </c>
      <c r="F144" s="86">
        <f>(F114+F127+F143)</f>
        <v>0</v>
      </c>
      <c r="G144" s="86">
        <f>(G114+G127+G143)</f>
        <v>70147.64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3985000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5.23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785000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785000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200000</v>
      </c>
    </row>
    <row r="158" spans="1:9">
      <c r="A158" s="22" t="s">
        <v>35</v>
      </c>
      <c r="B158" s="137">
        <f>'DOE25'!F497</f>
        <v>585000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585000</v>
      </c>
    </row>
    <row r="159" spans="1:9">
      <c r="A159" s="22" t="s">
        <v>36</v>
      </c>
      <c r="B159" s="137">
        <f>'DOE25'!F498</f>
        <v>76050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76050</v>
      </c>
    </row>
    <row r="160" spans="1:9">
      <c r="A160" s="22" t="s">
        <v>37</v>
      </c>
      <c r="B160" s="137">
        <f>'DOE25'!F499</f>
        <v>661050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661050</v>
      </c>
    </row>
    <row r="161" spans="1:7">
      <c r="A161" s="22" t="s">
        <v>38</v>
      </c>
      <c r="B161" s="137">
        <f>'DOE25'!F500</f>
        <v>195000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195000</v>
      </c>
    </row>
    <row r="162" spans="1:7">
      <c r="A162" s="22" t="s">
        <v>39</v>
      </c>
      <c r="B162" s="137">
        <f>'DOE25'!F501</f>
        <v>38025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38025</v>
      </c>
    </row>
    <row r="163" spans="1:7">
      <c r="A163" s="22" t="s">
        <v>246</v>
      </c>
      <c r="B163" s="137">
        <f>'DOE25'!F502</f>
        <v>233025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233025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1" t="s">
        <v>740</v>
      </c>
      <c r="B1" s="281"/>
      <c r="C1" s="281"/>
      <c r="D1" s="281"/>
    </row>
    <row r="2" spans="1:4">
      <c r="A2" s="187" t="s">
        <v>717</v>
      </c>
      <c r="B2" s="186" t="str">
        <f>'DOE25'!A2</f>
        <v>Hanover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18222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18222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5812590</v>
      </c>
      <c r="D10" s="182">
        <f>ROUND((C10/$C$28)*100,1)</f>
        <v>52.6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2474268</v>
      </c>
      <c r="D11" s="182">
        <f>ROUND((C11/$C$28)*100,1)</f>
        <v>22.4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282917</v>
      </c>
      <c r="D15" s="182">
        <f t="shared" ref="D15:D27" si="0">ROUND((C15/$C$28)*100,1)</f>
        <v>2.6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340729</v>
      </c>
      <c r="D16" s="182">
        <f t="shared" si="0"/>
        <v>3.1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366403</v>
      </c>
      <c r="D17" s="182">
        <f t="shared" si="0"/>
        <v>3.3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625396</v>
      </c>
      <c r="D18" s="182">
        <f t="shared" si="0"/>
        <v>5.7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489323</v>
      </c>
      <c r="D20" s="182">
        <f t="shared" si="0"/>
        <v>4.4000000000000004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560135</v>
      </c>
      <c r="D21" s="182">
        <f t="shared" si="0"/>
        <v>5.0999999999999996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50825</v>
      </c>
      <c r="D25" s="182">
        <f t="shared" si="0"/>
        <v>0.5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43470.459999999992</v>
      </c>
      <c r="D27" s="182">
        <f t="shared" si="0"/>
        <v>0.4</v>
      </c>
    </row>
    <row r="28" spans="1:4">
      <c r="B28" s="187" t="s">
        <v>723</v>
      </c>
      <c r="C28" s="180">
        <f>SUM(C10:C27)</f>
        <v>11046056.460000001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11046056.460000001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200000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8579328</v>
      </c>
      <c r="D35" s="182">
        <f t="shared" ref="D35:D40" si="1">ROUND((C35/$C$41)*100,1)</f>
        <v>73.5</v>
      </c>
    </row>
    <row r="36" spans="1:4">
      <c r="B36" s="185" t="s">
        <v>743</v>
      </c>
      <c r="C36" s="179">
        <f>SUM('DOE25'!F111:J111)-SUM('DOE25'!G96:G109)+('DOE25'!F173+'DOE25'!F174+'DOE25'!I173+'DOE25'!I174)-C35</f>
        <v>203956.52999999933</v>
      </c>
      <c r="D36" s="182">
        <f t="shared" si="1"/>
        <v>1.7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2205126</v>
      </c>
      <c r="D37" s="182">
        <f t="shared" si="1"/>
        <v>18.899999999999999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427779</v>
      </c>
      <c r="D38" s="182">
        <f t="shared" si="1"/>
        <v>3.7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258476</v>
      </c>
      <c r="D39" s="182">
        <f t="shared" si="1"/>
        <v>2.2000000000000002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11674665.529999999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98" t="s">
        <v>767</v>
      </c>
      <c r="B2" s="299"/>
      <c r="C2" s="299"/>
      <c r="D2" s="299"/>
      <c r="E2" s="299"/>
      <c r="F2" s="292" t="str">
        <f>'DOE25'!A2</f>
        <v>Hanover</v>
      </c>
      <c r="G2" s="293"/>
      <c r="H2" s="293"/>
      <c r="I2" s="293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2012-11-06T18:04:39Z</cp:lastPrinted>
  <dcterms:created xsi:type="dcterms:W3CDTF">1997-12-04T19:04:30Z</dcterms:created>
  <dcterms:modified xsi:type="dcterms:W3CDTF">2012-11-28T14:43:04Z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