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H525" i="1"/>
  <c r="I520" i="1"/>
  <c r="H520" i="1"/>
  <c r="G520" i="1"/>
  <c r="F520" i="1"/>
  <c r="J467" i="1"/>
  <c r="H471" i="1"/>
  <c r="H467" i="1"/>
  <c r="I357" i="1"/>
  <c r="H357" i="1"/>
  <c r="G357" i="1"/>
  <c r="I275" i="1"/>
  <c r="H275" i="1"/>
  <c r="G275" i="1"/>
  <c r="F275" i="1"/>
  <c r="H281" i="1"/>
  <c r="G281" i="1"/>
  <c r="I276" i="1"/>
  <c r="G276" i="1"/>
  <c r="J275" i="1"/>
  <c r="I201" i="1"/>
  <c r="I204" i="1"/>
  <c r="I202" i="1"/>
  <c r="H207" i="1"/>
  <c r="H203" i="1"/>
  <c r="H201" i="1"/>
  <c r="G203" i="1"/>
  <c r="G202" i="1"/>
  <c r="G201" i="1"/>
  <c r="F203" i="1"/>
  <c r="F202" i="1"/>
  <c r="F201" i="1"/>
  <c r="J95" i="1"/>
  <c r="H158" i="1"/>
  <c r="H153" i="1"/>
  <c r="H149" i="1"/>
  <c r="G96" i="1"/>
  <c r="F109" i="1"/>
  <c r="H28" i="1"/>
  <c r="H22" i="1"/>
  <c r="F12" i="1"/>
  <c r="F9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C17" i="10" s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C15" i="10" s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C21" i="10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F660" i="1" s="1"/>
  <c r="L358" i="1"/>
  <c r="L359" i="1"/>
  <c r="I366" i="1"/>
  <c r="J289" i="1"/>
  <c r="J308" i="1"/>
  <c r="J327" i="1"/>
  <c r="K289" i="1"/>
  <c r="K308" i="1"/>
  <c r="K327" i="1"/>
  <c r="G31" i="13"/>
  <c r="G33" i="13" s="1"/>
  <c r="L275" i="1"/>
  <c r="L276" i="1"/>
  <c r="E109" i="2" s="1"/>
  <c r="L277" i="1"/>
  <c r="L278" i="1"/>
  <c r="L280" i="1"/>
  <c r="L281" i="1"/>
  <c r="E118" i="2" s="1"/>
  <c r="L282" i="1"/>
  <c r="L283" i="1"/>
  <c r="E120" i="2" s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1" i="2" s="1"/>
  <c r="G60" i="2"/>
  <c r="F2" i="11"/>
  <c r="L612" i="1"/>
  <c r="H662" i="1" s="1"/>
  <c r="L611" i="1"/>
  <c r="G662" i="1" s="1"/>
  <c r="L610" i="1"/>
  <c r="F662" i="1" s="1"/>
  <c r="I662" i="1" s="1"/>
  <c r="C40" i="10"/>
  <c r="F59" i="1"/>
  <c r="C55" i="2" s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2" i="10"/>
  <c r="C13" i="10"/>
  <c r="C19" i="10"/>
  <c r="C20" i="10"/>
  <c r="L249" i="1"/>
  <c r="L331" i="1"/>
  <c r="L253" i="1"/>
  <c r="C24" i="10" s="1"/>
  <c r="C25" i="10"/>
  <c r="L267" i="1"/>
  <c r="L268" i="1"/>
  <c r="L348" i="1"/>
  <c r="L349" i="1"/>
  <c r="I664" i="1"/>
  <c r="I669" i="1"/>
  <c r="F661" i="1"/>
  <c r="G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F31" i="2" s="1"/>
  <c r="I447" i="1"/>
  <c r="J22" i="1" s="1"/>
  <c r="G21" i="2" s="1"/>
  <c r="C22" i="2"/>
  <c r="D22" i="2"/>
  <c r="D31" i="2" s="1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E56" i="2"/>
  <c r="C57" i="2"/>
  <c r="E57" i="2"/>
  <c r="C58" i="2"/>
  <c r="D58" i="2"/>
  <c r="E58" i="2"/>
  <c r="F58" i="2"/>
  <c r="D59" i="2"/>
  <c r="D61" i="2" s="1"/>
  <c r="D62" i="2" s="1"/>
  <c r="C60" i="2"/>
  <c r="D60" i="2"/>
  <c r="E60" i="2"/>
  <c r="E61" i="2" s="1"/>
  <c r="E62" i="2" s="1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7" i="2" s="1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C90" i="2" s="1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D102" i="2" s="1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C102" i="2" s="1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C109" i="2"/>
  <c r="C110" i="2"/>
  <c r="E110" i="2"/>
  <c r="C111" i="2"/>
  <c r="E111" i="2"/>
  <c r="C112" i="2"/>
  <c r="E112" i="2"/>
  <c r="C113" i="2"/>
  <c r="E113" i="2"/>
  <c r="D114" i="2"/>
  <c r="F114" i="2"/>
  <c r="G114" i="2"/>
  <c r="E117" i="2"/>
  <c r="E119" i="2"/>
  <c r="C121" i="2"/>
  <c r="E121" i="2"/>
  <c r="C122" i="2"/>
  <c r="E122" i="2"/>
  <c r="E123" i="2"/>
  <c r="C124" i="2"/>
  <c r="E124" i="2"/>
  <c r="F127" i="2"/>
  <c r="G127" i="2"/>
  <c r="C129" i="2"/>
  <c r="E129" i="2"/>
  <c r="F129" i="2"/>
  <c r="D133" i="2"/>
  <c r="D143" i="2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I32" i="1"/>
  <c r="F50" i="1"/>
  <c r="F51" i="1" s="1"/>
  <c r="H616" i="1" s="1"/>
  <c r="G50" i="1"/>
  <c r="H50" i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F256" i="1" s="1"/>
  <c r="F270" i="1" s="1"/>
  <c r="G210" i="1"/>
  <c r="G256" i="1" s="1"/>
  <c r="G270" i="1" s="1"/>
  <c r="H210" i="1"/>
  <c r="I210" i="1"/>
  <c r="I256" i="1" s="1"/>
  <c r="I270" i="1" s="1"/>
  <c r="J210" i="1"/>
  <c r="K210" i="1"/>
  <c r="K256" i="1" s="1"/>
  <c r="K270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F451" i="1"/>
  <c r="G451" i="1"/>
  <c r="H451" i="1"/>
  <c r="I451" i="1"/>
  <c r="F459" i="1"/>
  <c r="G459" i="1"/>
  <c r="H459" i="1"/>
  <c r="I459" i="1"/>
  <c r="I460" i="1" s="1"/>
  <c r="H641" i="1" s="1"/>
  <c r="F460" i="1"/>
  <c r="G460" i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44" i="1" s="1"/>
  <c r="G523" i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22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8" i="1"/>
  <c r="G639" i="1"/>
  <c r="H639" i="1"/>
  <c r="G640" i="1"/>
  <c r="H640" i="1"/>
  <c r="G642" i="1"/>
  <c r="H642" i="1"/>
  <c r="G643" i="1"/>
  <c r="G644" i="1"/>
  <c r="H644" i="1"/>
  <c r="G648" i="1"/>
  <c r="G649" i="1"/>
  <c r="G650" i="1"/>
  <c r="G651" i="1"/>
  <c r="H651" i="1"/>
  <c r="G652" i="1"/>
  <c r="H652" i="1"/>
  <c r="J652" i="1" s="1"/>
  <c r="G653" i="1"/>
  <c r="H653" i="1"/>
  <c r="J653" i="1" s="1"/>
  <c r="H654" i="1"/>
  <c r="F191" i="1"/>
  <c r="L255" i="1"/>
  <c r="G163" i="2"/>
  <c r="G159" i="2"/>
  <c r="C26" i="10"/>
  <c r="L327" i="1"/>
  <c r="L350" i="1"/>
  <c r="A31" i="12"/>
  <c r="G8" i="2"/>
  <c r="G161" i="2"/>
  <c r="E49" i="2"/>
  <c r="D18" i="13"/>
  <c r="C18" i="13" s="1"/>
  <c r="F102" i="2"/>
  <c r="D17" i="13"/>
  <c r="C17" i="13" s="1"/>
  <c r="G158" i="2"/>
  <c r="G80" i="2"/>
  <c r="F77" i="2"/>
  <c r="F80" i="2" s="1"/>
  <c r="F61" i="2"/>
  <c r="F62" i="2" s="1"/>
  <c r="D49" i="2"/>
  <c r="G156" i="2"/>
  <c r="F49" i="2"/>
  <c r="F18" i="2"/>
  <c r="G162" i="2"/>
  <c r="G160" i="2"/>
  <c r="G157" i="2"/>
  <c r="G155" i="2"/>
  <c r="E143" i="2"/>
  <c r="G102" i="2"/>
  <c r="E102" i="2"/>
  <c r="F90" i="2"/>
  <c r="D19" i="13"/>
  <c r="C19" i="13" s="1"/>
  <c r="D14" i="13"/>
  <c r="C14" i="13" s="1"/>
  <c r="E13" i="13"/>
  <c r="C13" i="13" s="1"/>
  <c r="A40" i="12" l="1"/>
  <c r="A22" i="12"/>
  <c r="K433" i="1"/>
  <c r="G133" i="2" s="1"/>
  <c r="G143" i="2" s="1"/>
  <c r="G144" i="2" s="1"/>
  <c r="L523" i="1"/>
  <c r="L544" i="1" s="1"/>
  <c r="I445" i="1"/>
  <c r="G641" i="1" s="1"/>
  <c r="J641" i="1" s="1"/>
  <c r="D126" i="2"/>
  <c r="D127" i="2" s="1"/>
  <c r="G660" i="1"/>
  <c r="D29" i="13"/>
  <c r="C29" i="13" s="1"/>
  <c r="H660" i="1"/>
  <c r="L361" i="1"/>
  <c r="C18" i="10"/>
  <c r="F31" i="13"/>
  <c r="C16" i="10"/>
  <c r="L289" i="1"/>
  <c r="E114" i="2"/>
  <c r="J337" i="1"/>
  <c r="J351" i="1" s="1"/>
  <c r="L246" i="1"/>
  <c r="H659" i="1" s="1"/>
  <c r="H663" i="1" s="1"/>
  <c r="H666" i="1" s="1"/>
  <c r="H661" i="1"/>
  <c r="I661" i="1" s="1"/>
  <c r="C123" i="2"/>
  <c r="D15" i="13"/>
  <c r="C15" i="13" s="1"/>
  <c r="H646" i="1"/>
  <c r="L228" i="1"/>
  <c r="C11" i="10"/>
  <c r="C10" i="10"/>
  <c r="J651" i="1"/>
  <c r="D12" i="13"/>
  <c r="C12" i="13" s="1"/>
  <c r="E8" i="13"/>
  <c r="C8" i="13" s="1"/>
  <c r="J648" i="1"/>
  <c r="C119" i="2"/>
  <c r="D7" i="13"/>
  <c r="C7" i="13" s="1"/>
  <c r="C118" i="2"/>
  <c r="C117" i="2"/>
  <c r="C120" i="2"/>
  <c r="D6" i="13"/>
  <c r="C6" i="13" s="1"/>
  <c r="L210" i="1"/>
  <c r="C108" i="2"/>
  <c r="C114" i="2" s="1"/>
  <c r="C31" i="2"/>
  <c r="J619" i="1"/>
  <c r="E31" i="2"/>
  <c r="D18" i="2"/>
  <c r="E18" i="2"/>
  <c r="G621" i="1"/>
  <c r="J621" i="1" s="1"/>
  <c r="J616" i="1"/>
  <c r="E90" i="2"/>
  <c r="E103" i="2" s="1"/>
  <c r="C69" i="2"/>
  <c r="F139" i="1"/>
  <c r="C61" i="2"/>
  <c r="C62" i="2" s="1"/>
  <c r="F50" i="2"/>
  <c r="H51" i="1"/>
  <c r="H618" i="1" s="1"/>
  <c r="J618" i="1" s="1"/>
  <c r="D50" i="2"/>
  <c r="G51" i="1"/>
  <c r="H617" i="1" s="1"/>
  <c r="J617" i="1" s="1"/>
  <c r="C18" i="2"/>
  <c r="C80" i="2"/>
  <c r="E77" i="2"/>
  <c r="E80" i="2" s="1"/>
  <c r="F103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L433" i="1" s="1"/>
  <c r="G637" i="1" s="1"/>
  <c r="J637" i="1" s="1"/>
  <c r="D80" i="2"/>
  <c r="D103" i="2" s="1"/>
  <c r="I168" i="1"/>
  <c r="H168" i="1"/>
  <c r="H192" i="1" s="1"/>
  <c r="G628" i="1" s="1"/>
  <c r="J628" i="1" s="1"/>
  <c r="J270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I475" i="1"/>
  <c r="H624" i="1" s="1"/>
  <c r="J624" i="1" s="1"/>
  <c r="G475" i="1"/>
  <c r="H622" i="1" s="1"/>
  <c r="J622" i="1" s="1"/>
  <c r="G337" i="1"/>
  <c r="G351" i="1" s="1"/>
  <c r="D144" i="2"/>
  <c r="C23" i="10"/>
  <c r="F168" i="1"/>
  <c r="C39" i="10" s="1"/>
  <c r="J139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K544" i="1"/>
  <c r="I192" i="1"/>
  <c r="G629" i="1" s="1"/>
  <c r="J629" i="1" s="1"/>
  <c r="J551" i="1"/>
  <c r="H551" i="1"/>
  <c r="C29" i="10"/>
  <c r="H139" i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F551" i="1"/>
  <c r="C35" i="10"/>
  <c r="L308" i="1"/>
  <c r="D5" i="13"/>
  <c r="E16" i="13"/>
  <c r="C49" i="2"/>
  <c r="J654" i="1"/>
  <c r="J644" i="1"/>
  <c r="J192" i="1"/>
  <c r="L569" i="1"/>
  <c r="I570" i="1"/>
  <c r="I544" i="1"/>
  <c r="J635" i="1"/>
  <c r="G36" i="2"/>
  <c r="G49" i="2" s="1"/>
  <c r="G50" i="2" s="1"/>
  <c r="J50" i="1"/>
  <c r="L564" i="1"/>
  <c r="L570" i="1" s="1"/>
  <c r="G544" i="1"/>
  <c r="H544" i="1"/>
  <c r="K550" i="1"/>
  <c r="F143" i="2"/>
  <c r="F144" i="2" s="1"/>
  <c r="K551" i="1" l="1"/>
  <c r="I660" i="1"/>
  <c r="C27" i="10"/>
  <c r="C28" i="10" s="1"/>
  <c r="D23" i="10" s="1"/>
  <c r="G634" i="1"/>
  <c r="J634" i="1" s="1"/>
  <c r="H647" i="1"/>
  <c r="J647" i="1" s="1"/>
  <c r="E144" i="2"/>
  <c r="L256" i="1"/>
  <c r="L270" i="1" s="1"/>
  <c r="G631" i="1" s="1"/>
  <c r="J631" i="1" s="1"/>
  <c r="H671" i="1"/>
  <c r="J646" i="1"/>
  <c r="C127" i="2"/>
  <c r="F659" i="1"/>
  <c r="F663" i="1" s="1"/>
  <c r="F666" i="1" s="1"/>
  <c r="C50" i="2"/>
  <c r="C38" i="10"/>
  <c r="C103" i="2"/>
  <c r="C36" i="10"/>
  <c r="F192" i="1"/>
  <c r="G626" i="1" s="1"/>
  <c r="J626" i="1" s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D12" i="10" l="1"/>
  <c r="D15" i="10"/>
  <c r="D19" i="10"/>
  <c r="D11" i="10"/>
  <c r="D10" i="10"/>
  <c r="D13" i="10"/>
  <c r="D26" i="10"/>
  <c r="D24" i="10"/>
  <c r="D21" i="10"/>
  <c r="D16" i="10"/>
  <c r="D27" i="10"/>
  <c r="D22" i="10"/>
  <c r="D17" i="10"/>
  <c r="D20" i="10"/>
  <c r="D18" i="10"/>
  <c r="C30" i="10"/>
  <c r="D25" i="10"/>
  <c r="C144" i="2"/>
  <c r="F671" i="1"/>
  <c r="C4" i="10" s="1"/>
  <c r="C41" i="10"/>
  <c r="D39" i="10" s="1"/>
  <c r="G636" i="1"/>
  <c r="J636" i="1" s="1"/>
  <c r="H645" i="1"/>
  <c r="J645" i="1" s="1"/>
  <c r="D33" i="13"/>
  <c r="D36" i="13" s="1"/>
  <c r="G663" i="1"/>
  <c r="I659" i="1"/>
  <c r="I663" i="1" s="1"/>
  <c r="J625" i="1"/>
  <c r="H655" i="1" l="1"/>
  <c r="D28" i="10"/>
  <c r="D40" i="10"/>
  <c r="D35" i="10"/>
  <c r="D38" i="10"/>
  <c r="D37" i="10"/>
  <c r="D36" i="10"/>
  <c r="I666" i="1"/>
  <c r="I671" i="1"/>
  <c r="C7" i="10" s="1"/>
  <c r="G671" i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<sst xmlns="http://schemas.openxmlformats.org/spreadsheetml/2006/main" count="3943" uniqueCount="910">
  <si>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</si>
  <si>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</si>
  <si>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</si>
  <si>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</si>
  <si>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</si>
  <si>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</si>
  <si>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</si>
  <si>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</si>
  <si>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</si>
  <si>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</si>
  <si>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</si>
  <si>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</si>
  <si>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</si>
  <si>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</si>
  <si>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</si>
  <si>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</si>
  <si>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</si>
  <si>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</si>
  <si>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</si>
  <si>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</si>
  <si>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</si>
  <si>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</si>
  <si>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</si>
  <si>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</si>
  <si>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</si>
  <si>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</si>
  <si>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</si>
  <si>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</si>
  <si>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</si>
  <si>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</si>
  <si>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</si>
  <si>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</si>
  <si>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</si>
  <si>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</si>
  <si>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</si>
  <si>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</si>
  <si>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</si>
  <si>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</si>
  <si>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</si>
  <si>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</si>
  <si>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</si>
  <si>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</si>
  <si>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</si>
  <si>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</si>
  <si>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</si>
  <si>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</si>
  <si>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</si>
  <si>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</si>
  <si>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</si>
  <si>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</si>
  <si>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</si>
  <si>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</si>
  <si>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</si>
  <si>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</si>
  <si>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</si>
  <si>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</si>
  <si>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</si>
  <si>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</si>
  <si>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</si>
  <si>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</si>
  <si>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</si>
  <si>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</si>
  <si>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</si>
  <si>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</si>
  <si>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</si>
  <si>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</si>
  <si>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</si>
  <si>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</si>
  <si>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</si>
  <si>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</si>
  <si>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</si>
  <si>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</si>
  <si>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</si>
  <si>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</si>
  <si>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</si>
  <si>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</si>
  <si>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</si>
  <si>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</si>
  <si>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</si>
  <si>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</si>
  <si>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</si>
  <si>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</si>
  <si>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</si>
  <si>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</si>
  <si>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</si>
  <si>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</si>
  <si>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</si>
  <si>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</si>
  <si>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</si>
  <si>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</si>
  <si>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</si>
  <si>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</si>
  <si>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</si>
  <si>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</si>
  <si>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</si>
  <si>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</si>
  <si>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</si>
  <si>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</si>
  <si>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</si>
  <si>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</si>
  <si>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</si>
  <si>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</si>
  <si>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</si>
  <si>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</si>
  <si>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</si>
  <si>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</si>
  <si>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</si>
  <si>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</si>
  <si>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</si>
  <si>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</si>
  <si>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</si>
  <si>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</si>
  <si>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</si>
  <si>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</si>
  <si>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</si>
  <si>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</si>
  <si>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</si>
  <si>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</si>
  <si>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</si>
  <si>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</si>
  <si>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</si>
  <si>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</si>
  <si>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</si>
  <si>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</si>
  <si>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</si>
  <si>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</si>
  <si>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</si>
  <si>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</si>
  <si>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</si>
  <si>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</si>
  <si>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</si>
  <si>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</si>
  <si>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</si>
  <si>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</si>
  <si>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</si>
  <si>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</si>
  <si>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</si>
  <si>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</si>
  <si>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</si>
  <si>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</si>
  <si>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</si>
  <si>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</si>
  <si>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</si>
  <si>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</si>
  <si>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</si>
  <si>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</si>
  <si>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</si>
  <si>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</si>
  <si>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</si>
  <si>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</si>
  <si>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</si>
  <si>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</si>
  <si>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</si>
  <si>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</si>
  <si>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</si>
  <si>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</si>
  <si>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</si>
  <si>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</si>
  <si>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</si>
  <si>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</si>
  <si>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</si>
  <si>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</si>
  <si>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</si>
  <si>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</si>
  <si>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</si>
  <si>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</si>
  <si>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</si>
  <si>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</si>
  <si>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</si>
  <si>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</si>
  <si>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</si>
  <si>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</si>
  <si>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</si>
  <si>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</si>
  <si>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</si>
  <si>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</si>
  <si>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</si>
  <si>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</si>
  <si>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</si>
  <si>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</si>
  <si>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</si>
  <si>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</si>
  <si>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</si>
  <si>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</si>
  <si>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</si>
  <si>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</si>
  <si>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</si>
  <si>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</si>
  <si>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</si>
  <si>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</si>
  <si>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</si>
  <si>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</si>
  <si>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</si>
  <si>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</si>
  <si>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</si>
  <si>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</si>
  <si>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</si>
  <si>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</si>
  <si>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</si>
  <si>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</si>
  <si>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</si>
  <si>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</si>
  <si>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</si>
  <si>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</si>
  <si>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</si>
  <si>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</si>
  <si>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</si>
  <si>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</si>
  <si>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</si>
  <si>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</si>
  <si>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</si>
  <si>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</si>
  <si>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</si>
  <si>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</si>
  <si>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</si>
  <si>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</si>
  <si>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</si>
  <si>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</si>
  <si>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</si>
  <si>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</si>
  <si>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</si>
  <si>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</si>
  <si>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</si>
  <si>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</si>
  <si>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</si>
  <si>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</si>
  <si>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</si>
  <si>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</si>
  <si>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</si>
  <si>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</si>
  <si>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</si>
  <si>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</si>
  <si>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</si>
  <si>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</si>
  <si>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</si>
  <si>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</si>
  <si>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</si>
  <si>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</si>
  <si>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</si>
  <si>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</si>
  <si>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</si>
  <si>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</si>
  <si>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</si>
  <si>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</si>
  <si>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</si>
  <si>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</si>
  <si>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</si>
  <si>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</si>
  <si>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</si>
  <si>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</si>
  <si>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</si>
  <si>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</si>
  <si>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</si>
  <si>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</si>
  <si>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</si>
  <si>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</si>
  <si>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</si>
  <si>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</si>
  <si>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</si>
  <si>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</si>
  <si>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</si>
  <si>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</si>
  <si>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</si>
  <si>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</si>
  <si>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</si>
  <si>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</si>
  <si>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</si>
  <si>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</si>
  <si>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</si>
  <si>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</si>
  <si>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</si>
  <si>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</si>
  <si>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</si>
  <si>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</si>
  <si>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</si>
  <si>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</si>
  <si>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</si>
  <si>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</si>
  <si>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</si>
  <si>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</si>
  <si>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</si>
  <si>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</si>
  <si>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</si>
  <si>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</si>
  <si>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</si>
  <si>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</si>
  <si>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</si>
  <si>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</si>
  <si>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</si>
  <si>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</si>
  <si>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</si>
  <si>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</si>
  <si>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</si>
  <si>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</si>
  <si>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</si>
  <si>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</si>
  <si>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</si>
  <si>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</si>
  <si>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</si>
  <si>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</si>
  <si>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</si>
  <si>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</si>
  <si>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</si>
  <si>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</si>
  <si>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</si>
  <si>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</si>
  <si>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</si>
  <si>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</si>
  <si>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</si>
  <si>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</si>
  <si>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</si>
  <si>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</si>
  <si>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</si>
  <si>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</si>
  <si>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</si>
  <si>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</si>
  <si>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</si>
  <si>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</si>
  <si>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</si>
  <si>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</si>
  <si>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</si>
  <si>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</si>
  <si>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</si>
  <si>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</si>
  <si>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</si>
  <si>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</si>
  <si>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</si>
  <si>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</si>
  <si>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</si>
  <si>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</si>
  <si>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</si>
  <si>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</si>
  <si>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</si>
  <si>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</si>
  <si>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</si>
  <si>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</si>
  <si>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</si>
  <si>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</si>
  <si>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</si>
  <si>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</si>
  <si>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</si>
  <si>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</si>
  <si>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</si>
  <si>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</si>
  <si>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</si>
  <si>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</si>
  <si>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</si>
  <si>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</si>
  <si>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</si>
  <si>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</si>
  <si>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</si>
  <si>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</si>
  <si>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</si>
  <si>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</si>
  <si>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</si>
  <si>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</si>
  <si>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</si>
  <si>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</si>
  <si>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</si>
  <si>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</si>
  <si>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</si>
  <si>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</si>
  <si>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</si>
  <si>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</si>
  <si>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</si>
  <si>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</si>
  <si>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</si>
  <si>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</si>
  <si>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</si>
  <si>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</si>
  <si>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</si>
  <si>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</si>
  <si>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</si>
  <si>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</si>
  <si>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</si>
  <si>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</si>
  <si>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</si>
  <si>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</si>
  <si>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</si>
  <si>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</si>
  <si>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</si>
  <si>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</si>
  <si>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</si>
  <si>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</si>
  <si>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</si>
  <si>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</si>
  <si>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</si>
  <si>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</si>
  <si>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</si>
  <si>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</si>
  <si>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</si>
  <si>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</si>
  <si>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</si>
  <si>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</si>
  <si>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</si>
  <si>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</si>
  <si>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</si>
  <si>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</si>
  <si>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</si>
  <si>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</si>
  <si>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</si>
  <si>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</si>
  <si>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</si>
  <si>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</si>
  <si>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</si>
  <si>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</si>
  <si>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</si>
  <si>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</si>
  <si>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</si>
  <si>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</si>
  <si>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</si>
  <si>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</si>
  <si>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</si>
  <si>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</si>
  <si>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</si>
  <si>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</si>
  <si>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</si>
  <si>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</si>
  <si>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</si>
  <si>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</si>
  <si>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</si>
  <si>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</si>
  <si>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</si>
  <si>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</si>
  <si>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</si>
  <si>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</si>
  <si>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</si>
  <si>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</si>
  <si>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</si>
  <si>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</si>
  <si>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</si>
  <si>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</si>
  <si>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</si>
  <si>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</si>
  <si>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</si>
  <si>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</si>
  <si>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</si>
  <si>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</si>
  <si>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</si>
  <si>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</si>
  <si>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</si>
  <si>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</si>
  <si>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</si>
  <si>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</si>
  <si>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</si>
  <si>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</si>
  <si>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</si>
  <si>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</si>
  <si>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</si>
  <si>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</si>
  <si>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</si>
  <si>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</si>
  <si>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</si>
  <si>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</si>
  <si>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</si>
  <si>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</si>
  <si>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</si>
  <si>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</si>
  <si>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</si>
  <si>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</si>
  <si>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</si>
  <si>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</si>
  <si>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</si>
  <si>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</si>
  <si>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</si>
  <si>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</si>
  <si>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</si>
  <si>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</si>
  <si>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</si>
  <si>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</si>
  <si>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</si>
  <si>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</si>
  <si>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</si>
  <si>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</si>
  <si>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</si>
  <si>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</si>
  <si>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</si>
  <si>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</si>
  <si>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</si>
  <si>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</si>
  <si>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</si>
  <si>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</si>
  <si>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</si>
  <si>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</si>
  <si>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</si>
  <si>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</si>
  <si>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</si>
  <si>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</si>
  <si>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</si>
  <si>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</si>
  <si>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</si>
  <si>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</si>
  <si>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</si>
  <si>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</si>
  <si>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</si>
  <si>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</si>
  <si>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</si>
  <si>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</si>
  <si>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</si>
  <si>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</si>
  <si>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</si>
  <si>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</si>
  <si>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</si>
  <si>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</si>
  <si>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</si>
  <si>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</si>
  <si>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</si>
  <si>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</si>
  <si>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</si>
  <si>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</si>
  <si>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</si>
  <si>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</si>
  <si>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</si>
  <si>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</si>
  <si>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</si>
  <si>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</si>
  <si>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</si>
  <si>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</si>
  <si>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</si>
  <si>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</si>
  <si>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</si>
  <si>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</si>
  <si>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</si>
  <si>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</si>
  <si>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</si>
  <si>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</si>
  <si>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</si>
  <si>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</si>
  <si>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</si>
  <si>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</si>
  <si>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</si>
  <si>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</si>
  <si>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</si>
  <si>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</si>
  <si>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</si>
  <si>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</si>
  <si>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</si>
  <si>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</si>
  <si>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</si>
  <si>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</si>
  <si>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</si>
  <si>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</si>
  <si>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</si>
  <si>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</si>
  <si>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</si>
  <si>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</si>
  <si>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</si>
  <si>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</si>
  <si>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</si>
  <si>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</si>
  <si>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</si>
  <si>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</si>
  <si>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</si>
  <si>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</si>
  <si>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</si>
  <si>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</si>
  <si>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</si>
  <si>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</si>
  <si>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</si>
  <si>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</si>
  <si>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</si>
  <si>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</si>
  <si>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</si>
  <si>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</si>
  <si>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</si>
  <si>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</si>
  <si>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</si>
  <si>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</si>
  <si>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</si>
  <si>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</si>
  <si>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</si>
  <si>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</si>
  <si>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</si>
  <si>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</si>
  <si>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</si>
  <si>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</si>
  <si>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</si>
  <si>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</si>
  <si>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</si>
  <si>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</si>
  <si>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</si>
  <si>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</si>
  <si>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</si>
  <si>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</si>
  <si>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</si>
  <si>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</si>
  <si>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</si>
  <si>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</si>
  <si>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</si>
  <si>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</si>
  <si>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</si>
  <si>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</si>
  <si>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</si>
  <si>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</si>
  <si>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</si>
  <si>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</si>
  <si>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</si>
  <si>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</si>
  <si>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</si>
  <si>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</si>
  <si>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</si>
  <si>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</si>
  <si>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</si>
  <si>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</si>
  <si>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</si>
  <si>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</si>
  <si>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</si>
  <si>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</si>
  <si>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</si>
  <si>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</si>
  <si>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</si>
  <si>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</si>
  <si>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</si>
  <si>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</si>
  <si>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</si>
  <si>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</si>
  <si>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</si>
  <si>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</si>
  <si>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</si>
  <si>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</si>
  <si>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</si>
  <si>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</si>
  <si>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</si>
  <si>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</si>
  <si>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</si>
  <si>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</si>
  <si>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</si>
  <si>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</si>
  <si>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</si>
  <si>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</si>
  <si>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</si>
  <si>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</si>
  <si>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</si>
  <si>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</si>
  <si>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</si>
  <si>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</si>
  <si>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</si>
  <si>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</si>
  <si>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</si>
  <si>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</si>
  <si>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</si>
  <si>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</si>
  <si>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</si>
  <si>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</si>
  <si>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</si>
  <si>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</si>
  <si>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</si>
  <si>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</si>
  <si>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</si>
  <si>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</si>
  <si>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</si>
  <si>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</si>
  <si>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</si>
  <si>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</si>
  <si>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</si>
  <si>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</si>
  <si>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</si>
  <si>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</si>
  <si>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</si>
  <si>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</si>
  <si>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</si>
  <si>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</si>
  <si>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</si>
  <si>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</si>
  <si>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</si>
  <si>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</si>
  <si>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</si>
  <si>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</si>
  <si>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</si>
  <si>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</si>
  <si>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</si>
  <si>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</si>
  <si>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</si>
  <si>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</si>
  <si>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</si>
  <si>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</si>
  <si>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</si>
  <si>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</si>
  <si>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</si>
  <si>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</si>
  <si>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</si>
  <si>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</si>
  <si>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</si>
  <si>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</si>
  <si>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</si>
  <si>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</si>
  <si>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</si>
  <si>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</si>
  <si>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</si>
  <si>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</si>
  <si>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</si>
  <si>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</si>
  <si>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</si>
  <si>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</si>
  <si>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</si>
  <si>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</si>
  <si>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</si>
  <si>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</si>
  <si>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</si>
  <si>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</si>
  <si>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</si>
  <si>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</si>
  <si>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</si>
  <si>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</si>
  <si>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</si>
  <si>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</si>
  <si>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</si>
  <si>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</si>
  <si>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</si>
  <si>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</si>
  <si>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</si>
  <si>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</si>
  <si>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</si>
  <si>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</si>
  <si>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</si>
  <si>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</si>
  <si>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</si>
  <si>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</si>
  <si>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</si>
  <si>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</si>
  <si>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</si>
  <si>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</si>
  <si>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</si>
  <si>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</si>
  <si>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</si>
  <si>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</si>
  <si>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</si>
  <si>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</si>
  <si>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</si>
  <si>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</si>
  <si>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</si>
  <si>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</si>
  <si>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</si>
  <si>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</si>
  <si>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</si>
  <si>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</si>
  <si>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</si>
  <si>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</si>
  <si>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</si>
  <si>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</si>
  <si>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</si>
  <si>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</si>
  <si>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</si>
  <si>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</si>
  <si>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</si>
  <si>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</si>
  <si>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</si>
  <si>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</si>
  <si>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</si>
  <si>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</si>
  <si>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</si>
  <si>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</si>
  <si>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</si>
  <si>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</si>
  <si>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</si>
  <si>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</si>
  <si>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</si>
  <si>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</si>
  <si>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</si>
  <si>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</si>
  <si>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</si>
  <si>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</si>
  <si>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</si>
  <si>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</si>
  <si>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</si>
  <si>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</si>
  <si>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</si>
  <si>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</si>
  <si>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</si>
  <si>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</si>
  <si>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</si>
  <si>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</si>
  <si>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</si>
  <si>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</si>
  <si>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</si>
  <si>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</si>
  <si>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</si>
  <si>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</si>
  <si>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</si>
  <si>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</si>
  <si>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</si>
  <si>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</si>
  <si>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</si>
  <si>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</si>
  <si>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</si>
  <si>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</si>
  <si>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</si>
  <si>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</si>
  <si>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</si>
  <si>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</si>
  <si>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</si>
  <si>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</si>
  <si>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</si>
  <si>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</si>
  <si>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</si>
  <si>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</si>
  <si>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</si>
  <si>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</si>
  <si>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</si>
  <si>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</si>
  <si>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</si>
  <si>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</si>
  <si>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</si>
  <si>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</si>
  <si>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</si>
  <si>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</si>
  <si>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</si>
  <si>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</si>
  <si>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</si>
  <si>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</si>
  <si>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</si>
  <si>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</si>
  <si>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</si>
  <si>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</si>
  <si>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</si>
  <si>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</si>
  <si>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</si>
  <si>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</si>
  <si>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</si>
  <si>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</si>
  <si>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</si>
  <si>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</si>
  <si>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</si>
  <si>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</si>
  <si>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</si>
  <si>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</si>
  <si>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</si>
  <si>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</si>
  <si>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</si>
  <si>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</si>
  <si>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</si>
  <si>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</si>
  <si>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</si>
  <si>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</si>
  <si>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</si>
  <si>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</si>
  <si>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</si>
  <si>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</si>
  <si>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</si>
  <si>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</si>
  <si>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</si>
  <si>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</si>
  <si>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</si>
  <si>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</si>
  <si>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</si>
  <si>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</si>
  <si>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</si>
  <si>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</si>
  <si>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</si>
  <si>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</si>
  <si>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</si>
  <si>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</si>
  <si>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</si>
  <si>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</si>
  <si>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</si>
  <si>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</si>
  <si>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</si>
  <si>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</si>
  <si>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</si>
  <si>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</si>
  <si>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</si>
  <si>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</si>
  <si>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</si>
  <si>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</si>
  <si>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</si>
  <si>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</si>
  <si>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</si>
  <si>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</si>
  <si>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</si>
  <si>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</si>
  <si>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</si>
  <si>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</si>
  <si>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</si>
  <si>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</si>
  <si>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</si>
  <si>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</si>
  <si>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</si>
  <si>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</si>
  <si>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</si>
  <si>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</si>
  <si>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</si>
  <si>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</si>
  <si>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</si>
  <si>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</si>
  <si>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</si>
  <si>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</si>
  <si>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</si>
  <si>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</si>
  <si>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</si>
  <si>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</si>
  <si>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</si>
  <si>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</si>
  <si>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</si>
  <si>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</si>
  <si>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</si>
  <si>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</si>
  <si>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</si>
  <si>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</si>
  <si>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</si>
  <si>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</si>
  <si>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</si>
  <si>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</si>
  <si>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</si>
  <si>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</si>
  <si>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</si>
  <si>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</si>
  <si>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</si>
  <si>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</si>
  <si>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</si>
  <si>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Harrisville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</si>
</sst>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120" zoomScaleNormal="12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235</v>
      </c>
      <c r="C2" s="21">
        <v>235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47168.12-16025.17</f>
        <v>31142.950000000004</v>
      </c>
      <c r="G9" s="18">
        <v>287.27999999999997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64123.17</v>
      </c>
      <c r="G10" s="18"/>
      <c r="H10" s="18"/>
      <c r="I10" s="18"/>
      <c r="J10" s="67">
        <f>SUM(I439)</f>
        <v>225360.84000000003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21484.09+6890.86</f>
        <v>28374.95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2201.2199999999998</v>
      </c>
      <c r="G13" s="18"/>
      <c r="H13" s="18">
        <v>23610.66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261.56</v>
      </c>
      <c r="H14" s="18">
        <v>232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125842.29</v>
      </c>
      <c r="G19" s="41">
        <f>SUM(G9:G18)</f>
        <v>548.83999999999992</v>
      </c>
      <c r="H19" s="41">
        <f>SUM(H9:H18)</f>
        <v>23842.66</v>
      </c>
      <c r="I19" s="41">
        <f>SUM(I9:I18)</f>
        <v>0</v>
      </c>
      <c r="J19" s="41">
        <f>SUM(J9:J18)</f>
        <v>225360.84000000003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21484.09+6890.86</f>
        <v>28374.95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4875.8999999999996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4234.4799999999996</v>
      </c>
      <c r="G28" s="18">
        <v>392.04</v>
      </c>
      <c r="H28" s="18">
        <f>1728+251.11</f>
        <v>1979.1100000000001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156.80000000000001</v>
      </c>
      <c r="H30" s="18">
        <v>398.57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9110.3799999999992</v>
      </c>
      <c r="G32" s="41">
        <f>SUM(G22:G31)</f>
        <v>548.84</v>
      </c>
      <c r="H32" s="41">
        <f>SUM(H22:H31)</f>
        <v>30752.63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-6909.97</v>
      </c>
      <c r="I47" s="18"/>
      <c r="J47" s="13">
        <f>SUM(I458)</f>
        <v>225360.84000000003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91731.91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116731.91</v>
      </c>
      <c r="G50" s="41">
        <f>SUM(G35:G49)</f>
        <v>0</v>
      </c>
      <c r="H50" s="41">
        <f>SUM(H35:H49)</f>
        <v>-6909.97</v>
      </c>
      <c r="I50" s="41">
        <f>SUM(I35:I49)</f>
        <v>0</v>
      </c>
      <c r="J50" s="41">
        <f>SUM(J35:J49)</f>
        <v>225360.84000000003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125842.29000000001</v>
      </c>
      <c r="G51" s="41">
        <f>G50+G32</f>
        <v>548.84</v>
      </c>
      <c r="H51" s="41">
        <f>H50+H32</f>
        <v>23842.66</v>
      </c>
      <c r="I51" s="41">
        <f>I50+I32</f>
        <v>0</v>
      </c>
      <c r="J51" s="41">
        <f>J50+J32</f>
        <v>225360.84000000003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1056014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1056014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>
        <v>43834.35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8016.75</v>
      </c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8016.75</v>
      </c>
      <c r="G78" s="45" t="s">
        <v>289</v>
      </c>
      <c r="H78" s="41">
        <f>SUM(H62:H77)</f>
        <v>43834.35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428.45</v>
      </c>
      <c r="G95" s="18"/>
      <c r="H95" s="18"/>
      <c r="I95" s="18"/>
      <c r="J95" s="18">
        <f>90.4+79.77</f>
        <v>170.17000000000002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5748.46+2766.3+532.5+417.15+820.7+121.9</f>
        <v>10407.01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16760.3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52791.49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2099.02+3436.51</f>
        <v>5535.5300000000007</v>
      </c>
      <c r="G109" s="18"/>
      <c r="H109" s="18">
        <v>3800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58955.469999999994</v>
      </c>
      <c r="G110" s="41">
        <f>SUM(G95:G109)</f>
        <v>10407.01</v>
      </c>
      <c r="H110" s="41">
        <f>SUM(H95:H109)</f>
        <v>20560.3</v>
      </c>
      <c r="I110" s="41">
        <f>SUM(I95:I109)</f>
        <v>0</v>
      </c>
      <c r="J110" s="41">
        <f>SUM(J95:J109)</f>
        <v>170.17000000000002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1122986.22</v>
      </c>
      <c r="G111" s="41">
        <f>G59+G110</f>
        <v>10407.01</v>
      </c>
      <c r="H111" s="41">
        <f>H59+H78+H93+H110</f>
        <v>64394.649999999994</v>
      </c>
      <c r="I111" s="41">
        <f>I59+I110</f>
        <v>0</v>
      </c>
      <c r="J111" s="41">
        <f>J59+J110</f>
        <v>170.17000000000002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13333.45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489376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11.55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806.58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503527.58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222.42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222.42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503527.58</v>
      </c>
      <c r="G139" s="41">
        <f>G120+SUM(G135:G136)</f>
        <v>222.42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f>2788.78+2599.43</f>
        <v>5388.21</v>
      </c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370.49+1717.19+5831.64</f>
        <v>7919.3200000000006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10140.299999999999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774.08+18614.65</f>
        <v>19388.730000000003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14251.46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10836.37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25087.83</v>
      </c>
      <c r="G161" s="41">
        <f>SUM(G149:G160)</f>
        <v>10140.299999999999</v>
      </c>
      <c r="H161" s="41">
        <f>SUM(H149:H160)</f>
        <v>32696.260000000002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25087.83</v>
      </c>
      <c r="G168" s="41">
        <f>G146+G161+SUM(G162:G167)</f>
        <v>10140.299999999999</v>
      </c>
      <c r="H168" s="41">
        <f>H146+H161+SUM(H162:H167)</f>
        <v>32696.260000000002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12163.58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12163.58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12163.58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1651601.6300000001</v>
      </c>
      <c r="G192" s="47">
        <f>G111+G139+G168+G191</f>
        <v>32933.31</v>
      </c>
      <c r="H192" s="47">
        <f>H111+H139+H168+H191</f>
        <v>97090.91</v>
      </c>
      <c r="I192" s="47">
        <f>I111+I139+I168+I191</f>
        <v>0</v>
      </c>
      <c r="J192" s="47">
        <f>J111+J139+J191</f>
        <v>170.17000000000002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340888.71</v>
      </c>
      <c r="G196" s="18">
        <v>133680.31</v>
      </c>
      <c r="H196" s="18">
        <v>8459</v>
      </c>
      <c r="I196" s="18">
        <v>7823.23</v>
      </c>
      <c r="J196" s="18">
        <v>4517.6499999999996</v>
      </c>
      <c r="K196" s="18"/>
      <c r="L196" s="19">
        <f>SUM(F196:K196)</f>
        <v>495368.9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69894.44</v>
      </c>
      <c r="G197" s="18">
        <v>22007.89</v>
      </c>
      <c r="H197" s="18">
        <v>7073.06</v>
      </c>
      <c r="I197" s="18">
        <v>381.12</v>
      </c>
      <c r="J197" s="18"/>
      <c r="K197" s="18"/>
      <c r="L197" s="19">
        <f>SUM(F197:K197)</f>
        <v>99356.51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480</v>
      </c>
      <c r="G199" s="18">
        <v>73.58</v>
      </c>
      <c r="H199" s="18"/>
      <c r="I199" s="18"/>
      <c r="J199" s="18"/>
      <c r="K199" s="18">
        <v>132.94999999999999</v>
      </c>
      <c r="L199" s="19">
        <f>SUM(F199:K199)</f>
        <v>686.53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29421.6+10870.08</f>
        <v>40291.68</v>
      </c>
      <c r="G201" s="18">
        <f>2354.44+869.44</f>
        <v>3223.88</v>
      </c>
      <c r="H201" s="18">
        <f>250+475+1912.5+11877.96+12023.33+17290+8290.77</f>
        <v>52119.56</v>
      </c>
      <c r="I201" s="18">
        <f>388.21+246.08+419.23</f>
        <v>1053.52</v>
      </c>
      <c r="J201" s="18"/>
      <c r="K201" s="18"/>
      <c r="L201" s="19">
        <f t="shared" ref="L201:L207" si="0">SUM(F201:K201)</f>
        <v>96688.639999999999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1490+11269.18</f>
        <v>12759.18</v>
      </c>
      <c r="G202" s="18">
        <f>279.9+902.47</f>
        <v>1182.3699999999999</v>
      </c>
      <c r="H202" s="18">
        <v>1450.95</v>
      </c>
      <c r="I202" s="18">
        <f>149.79+2119.61</f>
        <v>2269.4</v>
      </c>
      <c r="J202" s="18"/>
      <c r="K202" s="18">
        <v>399</v>
      </c>
      <c r="L202" s="19">
        <f t="shared" si="0"/>
        <v>18060.900000000001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2475.75+2000</f>
        <v>4475.75</v>
      </c>
      <c r="G203" s="18">
        <f>198.11+160</f>
        <v>358.11</v>
      </c>
      <c r="H203" s="18">
        <f>4139.19+250+5250+90+250+120356</f>
        <v>130335.19</v>
      </c>
      <c r="I203" s="18">
        <v>1226.55</v>
      </c>
      <c r="J203" s="18"/>
      <c r="K203" s="18">
        <v>2609.5</v>
      </c>
      <c r="L203" s="19">
        <f t="shared" si="0"/>
        <v>139005.09999999998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63105.8</v>
      </c>
      <c r="G204" s="18">
        <v>40430.43</v>
      </c>
      <c r="H204" s="18">
        <v>8384.31</v>
      </c>
      <c r="I204" s="18">
        <f>1247.07+251.82</f>
        <v>1498.8899999999999</v>
      </c>
      <c r="J204" s="18"/>
      <c r="K204" s="18">
        <v>344</v>
      </c>
      <c r="L204" s="19">
        <f t="shared" si="0"/>
        <v>113763.43000000001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35862.910000000003</v>
      </c>
      <c r="G206" s="18">
        <v>25337.39</v>
      </c>
      <c r="H206" s="18">
        <v>10228.69</v>
      </c>
      <c r="I206" s="18">
        <v>38978.31</v>
      </c>
      <c r="J206" s="18"/>
      <c r="K206" s="18"/>
      <c r="L206" s="19">
        <f t="shared" si="0"/>
        <v>110407.3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49481+235+16493</f>
        <v>66209</v>
      </c>
      <c r="I207" s="18"/>
      <c r="J207" s="18"/>
      <c r="K207" s="18"/>
      <c r="L207" s="19">
        <f t="shared" si="0"/>
        <v>66209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>
        <v>242.48</v>
      </c>
      <c r="H208" s="18">
        <v>558.75</v>
      </c>
      <c r="I208" s="18"/>
      <c r="J208" s="18"/>
      <c r="K208" s="18"/>
      <c r="L208" s="19">
        <f>SUM(F208:K208)</f>
        <v>801.23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567758.47000000009</v>
      </c>
      <c r="G210" s="41">
        <f t="shared" si="1"/>
        <v>226536.43999999997</v>
      </c>
      <c r="H210" s="41">
        <f t="shared" si="1"/>
        <v>284818.51</v>
      </c>
      <c r="I210" s="41">
        <f t="shared" si="1"/>
        <v>53231.02</v>
      </c>
      <c r="J210" s="41">
        <f t="shared" si="1"/>
        <v>4517.6499999999996</v>
      </c>
      <c r="K210" s="41">
        <f t="shared" si="1"/>
        <v>3485.45</v>
      </c>
      <c r="L210" s="41">
        <f t="shared" si="1"/>
        <v>1140347.54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77874</v>
      </c>
      <c r="I214" s="18"/>
      <c r="J214" s="18"/>
      <c r="K214" s="18"/>
      <c r="L214" s="19">
        <f>SUM(F214:K214)</f>
        <v>77874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56810</v>
      </c>
      <c r="I215" s="18"/>
      <c r="J215" s="18"/>
      <c r="K215" s="18"/>
      <c r="L215" s="19">
        <f>SUM(F215:K215)</f>
        <v>56810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16494</v>
      </c>
      <c r="I225" s="18"/>
      <c r="J225" s="18"/>
      <c r="K225" s="18"/>
      <c r="L225" s="19">
        <f t="shared" si="2"/>
        <v>16494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151178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151178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209418</v>
      </c>
      <c r="I232" s="18"/>
      <c r="J232" s="18"/>
      <c r="K232" s="18"/>
      <c r="L232" s="19">
        <f>SUM(F232:K232)</f>
        <v>209418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74753</v>
      </c>
      <c r="I233" s="18"/>
      <c r="J233" s="18"/>
      <c r="K233" s="18"/>
      <c r="L233" s="19">
        <f>SUM(F233:K233)</f>
        <v>74753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16494</v>
      </c>
      <c r="I243" s="18"/>
      <c r="J243" s="18"/>
      <c r="K243" s="18"/>
      <c r="L243" s="19">
        <f t="shared" si="4"/>
        <v>16494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300665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300665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567758.47000000009</v>
      </c>
      <c r="G256" s="41">
        <f t="shared" si="8"/>
        <v>226536.43999999997</v>
      </c>
      <c r="H256" s="41">
        <f t="shared" si="8"/>
        <v>736661.51</v>
      </c>
      <c r="I256" s="41">
        <f t="shared" si="8"/>
        <v>53231.02</v>
      </c>
      <c r="J256" s="41">
        <f t="shared" si="8"/>
        <v>4517.6499999999996</v>
      </c>
      <c r="K256" s="41">
        <f t="shared" si="8"/>
        <v>3485.45</v>
      </c>
      <c r="L256" s="41">
        <f t="shared" si="8"/>
        <v>1592190.54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12163.58</v>
      </c>
      <c r="L262" s="19">
        <f>SUM(F262:K262)</f>
        <v>12163.58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12163.58</v>
      </c>
      <c r="L269" s="41">
        <f t="shared" si="9"/>
        <v>12163.58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567758.47000000009</v>
      </c>
      <c r="G270" s="42">
        <f t="shared" si="11"/>
        <v>226536.43999999997</v>
      </c>
      <c r="H270" s="42">
        <f t="shared" si="11"/>
        <v>736661.51</v>
      </c>
      <c r="I270" s="42">
        <f t="shared" si="11"/>
        <v>53231.02</v>
      </c>
      <c r="J270" s="42">
        <f t="shared" si="11"/>
        <v>4517.6499999999996</v>
      </c>
      <c r="K270" s="42">
        <f t="shared" si="11"/>
        <v>15649.029999999999</v>
      </c>
      <c r="L270" s="42">
        <f t="shared" si="11"/>
        <v>1604354.12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30000.1+7825.52+37.5</f>
        <v>37863.119999999995</v>
      </c>
      <c r="G275" s="18">
        <f>7660+400+68.4+117+2885.77+3390.14+132.54</f>
        <v>14653.85</v>
      </c>
      <c r="H275" s="18">
        <f>4825+494.59</f>
        <v>5319.59</v>
      </c>
      <c r="I275" s="18">
        <f>1890.21+1494.24</f>
        <v>3384.45</v>
      </c>
      <c r="J275" s="18">
        <f>898.57+2599.43</f>
        <v>3498</v>
      </c>
      <c r="K275" s="18"/>
      <c r="L275" s="19">
        <f>SUM(F275:K275)</f>
        <v>64719.009999999995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3600</v>
      </c>
      <c r="G276" s="18">
        <f>275.4+12.6</f>
        <v>288</v>
      </c>
      <c r="H276" s="18">
        <v>750</v>
      </c>
      <c r="I276" s="18">
        <f>471.83+263.99</f>
        <v>735.81999999999994</v>
      </c>
      <c r="J276" s="18">
        <v>4003</v>
      </c>
      <c r="K276" s="18"/>
      <c r="L276" s="19">
        <f>SUM(F276:K276)</f>
        <v>9376.82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700</v>
      </c>
      <c r="G281" s="18">
        <f>53.55+11.2</f>
        <v>64.75</v>
      </c>
      <c r="H281" s="18">
        <f>850+5400+431.64+8784.22</f>
        <v>15465.86</v>
      </c>
      <c r="I281" s="18"/>
      <c r="J281" s="18"/>
      <c r="K281" s="18"/>
      <c r="L281" s="19">
        <f t="shared" si="12"/>
        <v>16230.61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1700.62</v>
      </c>
      <c r="L284" s="19">
        <f t="shared" si="12"/>
        <v>1700.62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42163.119999999995</v>
      </c>
      <c r="G289" s="42">
        <f t="shared" si="13"/>
        <v>15006.6</v>
      </c>
      <c r="H289" s="42">
        <f t="shared" si="13"/>
        <v>21535.45</v>
      </c>
      <c r="I289" s="42">
        <f t="shared" si="13"/>
        <v>4120.2699999999995</v>
      </c>
      <c r="J289" s="42">
        <f t="shared" si="13"/>
        <v>7501</v>
      </c>
      <c r="K289" s="42">
        <f t="shared" si="13"/>
        <v>1700.62</v>
      </c>
      <c r="L289" s="41">
        <f t="shared" si="13"/>
        <v>92027.059999999983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42163.119999999995</v>
      </c>
      <c r="G337" s="41">
        <f t="shared" si="20"/>
        <v>15006.6</v>
      </c>
      <c r="H337" s="41">
        <f t="shared" si="20"/>
        <v>21535.45</v>
      </c>
      <c r="I337" s="41">
        <f t="shared" si="20"/>
        <v>4120.2699999999995</v>
      </c>
      <c r="J337" s="41">
        <f t="shared" si="20"/>
        <v>7501</v>
      </c>
      <c r="K337" s="41">
        <f t="shared" si="20"/>
        <v>1700.62</v>
      </c>
      <c r="L337" s="41">
        <f t="shared" si="20"/>
        <v>92027.059999999983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42163.119999999995</v>
      </c>
      <c r="G351" s="41">
        <f>G337</f>
        <v>15006.6</v>
      </c>
      <c r="H351" s="41">
        <f>H337</f>
        <v>21535.45</v>
      </c>
      <c r="I351" s="41">
        <f>I337</f>
        <v>4120.2699999999995</v>
      </c>
      <c r="J351" s="41">
        <f>J337</f>
        <v>7501</v>
      </c>
      <c r="K351" s="47">
        <f>K337+K350</f>
        <v>1700.62</v>
      </c>
      <c r="L351" s="41">
        <f>L337+L350</f>
        <v>92027.059999999983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13328.76</v>
      </c>
      <c r="G357" s="18">
        <f>1019.66+47.85</f>
        <v>1067.51</v>
      </c>
      <c r="H357" s="18">
        <f>4000+1330.7+299.7</f>
        <v>5630.4</v>
      </c>
      <c r="I357" s="18">
        <f>664.67+11373.47</f>
        <v>12038.14</v>
      </c>
      <c r="J357" s="18"/>
      <c r="K357" s="18">
        <v>868.5</v>
      </c>
      <c r="L357" s="13">
        <f>SUM(F357:K357)</f>
        <v>32933.31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13328.76</v>
      </c>
      <c r="G361" s="47">
        <f t="shared" si="22"/>
        <v>1067.51</v>
      </c>
      <c r="H361" s="47">
        <f t="shared" si="22"/>
        <v>5630.4</v>
      </c>
      <c r="I361" s="47">
        <f t="shared" si="22"/>
        <v>12038.14</v>
      </c>
      <c r="J361" s="47">
        <f t="shared" si="22"/>
        <v>0</v>
      </c>
      <c r="K361" s="47">
        <f t="shared" si="22"/>
        <v>868.5</v>
      </c>
      <c r="L361" s="47">
        <f t="shared" si="22"/>
        <v>32933.31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11373.47</v>
      </c>
      <c r="G366" s="18"/>
      <c r="H366" s="18"/>
      <c r="I366" s="56">
        <f>SUM(F366:H366)</f>
        <v>11373.47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664.67</v>
      </c>
      <c r="G367" s="63"/>
      <c r="H367" s="63"/>
      <c r="I367" s="56">
        <f>SUM(F367:H367)</f>
        <v>664.67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12038.14</v>
      </c>
      <c r="G368" s="47">
        <f>SUM(G366:G367)</f>
        <v>0</v>
      </c>
      <c r="H368" s="47">
        <f>SUM(H366:H367)</f>
        <v>0</v>
      </c>
      <c r="I368" s="47">
        <f>SUM(I366:I367)</f>
        <v>12038.14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90.4</v>
      </c>
      <c r="I388" s="18"/>
      <c r="J388" s="24" t="s">
        <v>289</v>
      </c>
      <c r="K388" s="24" t="s">
        <v>289</v>
      </c>
      <c r="L388" s="56">
        <f t="shared" si="25"/>
        <v>90.4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90.4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90.4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79.77</v>
      </c>
      <c r="I397" s="18"/>
      <c r="J397" s="24" t="s">
        <v>289</v>
      </c>
      <c r="K397" s="24" t="s">
        <v>289</v>
      </c>
      <c r="L397" s="56">
        <f t="shared" si="26"/>
        <v>79.77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79.77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79.77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170.17000000000002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170.17000000000002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>
        <v>80017.69</v>
      </c>
      <c r="L414" s="56">
        <f t="shared" si="27"/>
        <v>80017.69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80017.69</v>
      </c>
      <c r="L418" s="47">
        <f t="shared" si="28"/>
        <v>80017.69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80017.69</v>
      </c>
      <c r="L433" s="47">
        <f t="shared" si="32"/>
        <v>80017.69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118847.99</v>
      </c>
      <c r="G439" s="18">
        <v>106512.85</v>
      </c>
      <c r="H439" s="18"/>
      <c r="I439" s="56">
        <f t="shared" si="33"/>
        <v>225360.84000000003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118847.99</v>
      </c>
      <c r="G445" s="13">
        <f>SUM(G438:G444)</f>
        <v>106512.85</v>
      </c>
      <c r="H445" s="13">
        <f>SUM(H438:H444)</f>
        <v>0</v>
      </c>
      <c r="I445" s="13">
        <f>SUM(I438:I444)</f>
        <v>225360.84000000003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118847.99</v>
      </c>
      <c r="G458" s="18">
        <v>106512.85</v>
      </c>
      <c r="H458" s="18"/>
      <c r="I458" s="56">
        <f t="shared" si="34"/>
        <v>225360.84000000003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118847.99</v>
      </c>
      <c r="G459" s="83">
        <f>SUM(G453:G458)</f>
        <v>106512.85</v>
      </c>
      <c r="H459" s="83">
        <f>SUM(H453:H458)</f>
        <v>0</v>
      </c>
      <c r="I459" s="83">
        <f>SUM(I453:I458)</f>
        <v>225360.84000000003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118847.99</v>
      </c>
      <c r="G460" s="42">
        <f>G451+G459</f>
        <v>106512.85</v>
      </c>
      <c r="H460" s="42">
        <f>H451+H459</f>
        <v>0</v>
      </c>
      <c r="I460" s="42">
        <f>I451+I459</f>
        <v>225360.84000000003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69484.399999999994</v>
      </c>
      <c r="G464" s="18">
        <v>0</v>
      </c>
      <c r="H464" s="18">
        <v>-11973.82</v>
      </c>
      <c r="I464" s="18">
        <v>0</v>
      </c>
      <c r="J464" s="18">
        <v>305208.36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1651601.63</v>
      </c>
      <c r="G467" s="18">
        <v>32933.31</v>
      </c>
      <c r="H467" s="18">
        <f>32696.26+64394.65</f>
        <v>97090.91</v>
      </c>
      <c r="I467" s="18"/>
      <c r="J467" s="18">
        <f>90.4+79.77</f>
        <v>170.17000000000002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1651601.63</v>
      </c>
      <c r="G469" s="53">
        <f>SUM(G467:G468)</f>
        <v>32933.31</v>
      </c>
      <c r="H469" s="53">
        <f>SUM(H467:H468)</f>
        <v>97090.91</v>
      </c>
      <c r="I469" s="53">
        <f>SUM(I467:I468)</f>
        <v>0</v>
      </c>
      <c r="J469" s="53">
        <f>SUM(J467:J468)</f>
        <v>170.17000000000002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1604354.12</v>
      </c>
      <c r="G471" s="18">
        <v>32933.31</v>
      </c>
      <c r="H471" s="18">
        <f>32696.26+59330.8</f>
        <v>92027.06</v>
      </c>
      <c r="I471" s="18"/>
      <c r="J471" s="18">
        <v>80017.69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1604354.12</v>
      </c>
      <c r="G473" s="53">
        <f>SUM(G471:G472)</f>
        <v>32933.31</v>
      </c>
      <c r="H473" s="53">
        <f>SUM(H471:H472)</f>
        <v>92027.06</v>
      </c>
      <c r="I473" s="53">
        <f>SUM(I471:I472)</f>
        <v>0</v>
      </c>
      <c r="J473" s="53">
        <f>SUM(J471:J472)</f>
        <v>80017.69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116731.90999999968</v>
      </c>
      <c r="G475" s="53">
        <f>(G464+G469)- G473</f>
        <v>0</v>
      </c>
      <c r="H475" s="53">
        <f>(H464+H469)- H473</f>
        <v>-6909.9700000000012</v>
      </c>
      <c r="I475" s="53">
        <f>(I464+I469)- I473</f>
        <v>0</v>
      </c>
      <c r="J475" s="53">
        <f>(J464+J469)- J473</f>
        <v>225360.83999999997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32208.41+37686.03+3600</f>
        <v>73494.44</v>
      </c>
      <c r="G520" s="18">
        <f>13789+550+68.4+90.84+5195.46+2067.54+246.65+275.4+12.6</f>
        <v>22295.890000000003</v>
      </c>
      <c r="H520" s="18">
        <f>268.06+750</f>
        <v>1018.06</v>
      </c>
      <c r="I520" s="18">
        <f>43.97+337.15+471.83+263.99</f>
        <v>1116.94</v>
      </c>
      <c r="J520" s="18">
        <v>4003</v>
      </c>
      <c r="K520" s="18"/>
      <c r="L520" s="88">
        <f>SUM(F520:K520)</f>
        <v>101928.33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v>56810</v>
      </c>
      <c r="I521" s="18"/>
      <c r="J521" s="18"/>
      <c r="K521" s="18"/>
      <c r="L521" s="88">
        <f>SUM(F521:K521)</f>
        <v>56810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74753</v>
      </c>
      <c r="I522" s="18"/>
      <c r="J522" s="18"/>
      <c r="K522" s="18"/>
      <c r="L522" s="88">
        <f>SUM(F522:K522)</f>
        <v>74753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73494.44</v>
      </c>
      <c r="G523" s="108">
        <f t="shared" ref="G523:L523" si="36">SUM(G520:G522)</f>
        <v>22295.890000000003</v>
      </c>
      <c r="H523" s="108">
        <f t="shared" si="36"/>
        <v>132581.06</v>
      </c>
      <c r="I523" s="108">
        <f t="shared" si="36"/>
        <v>1116.94</v>
      </c>
      <c r="J523" s="108">
        <f t="shared" si="36"/>
        <v>4003</v>
      </c>
      <c r="K523" s="108">
        <f t="shared" si="36"/>
        <v>0</v>
      </c>
      <c r="L523" s="89">
        <f t="shared" si="36"/>
        <v>233491.33000000002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11877.96+12023.33+17290+8290.77+8784.22</f>
        <v>58266.28</v>
      </c>
      <c r="I525" s="18">
        <v>419.23</v>
      </c>
      <c r="J525" s="18"/>
      <c r="K525" s="18"/>
      <c r="L525" s="88">
        <f>SUM(F525:K525)</f>
        <v>58685.51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58266.28</v>
      </c>
      <c r="I528" s="89">
        <f t="shared" si="37"/>
        <v>419.23</v>
      </c>
      <c r="J528" s="89">
        <f t="shared" si="37"/>
        <v>0</v>
      </c>
      <c r="K528" s="89">
        <f t="shared" si="37"/>
        <v>0</v>
      </c>
      <c r="L528" s="89">
        <f t="shared" si="37"/>
        <v>58685.51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10576</v>
      </c>
      <c r="I530" s="18"/>
      <c r="J530" s="18"/>
      <c r="K530" s="18">
        <v>1189.43</v>
      </c>
      <c r="L530" s="88">
        <f>SUM(F530:K530)</f>
        <v>11765.43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10576</v>
      </c>
      <c r="I533" s="89">
        <f t="shared" si="38"/>
        <v>0</v>
      </c>
      <c r="J533" s="89">
        <f t="shared" si="38"/>
        <v>0</v>
      </c>
      <c r="K533" s="89">
        <f t="shared" si="38"/>
        <v>1189.43</v>
      </c>
      <c r="L533" s="89">
        <f t="shared" si="38"/>
        <v>11765.43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73494.44</v>
      </c>
      <c r="G544" s="89">
        <f t="shared" ref="G544:L544" si="41">G523+G528+G533+G538+G543</f>
        <v>22295.890000000003</v>
      </c>
      <c r="H544" s="89">
        <f t="shared" si="41"/>
        <v>201423.34</v>
      </c>
      <c r="I544" s="89">
        <f t="shared" si="41"/>
        <v>1536.17</v>
      </c>
      <c r="J544" s="89">
        <f t="shared" si="41"/>
        <v>4003</v>
      </c>
      <c r="K544" s="89">
        <f t="shared" si="41"/>
        <v>1189.43</v>
      </c>
      <c r="L544" s="89">
        <f t="shared" si="41"/>
        <v>303942.27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101928.33</v>
      </c>
      <c r="G548" s="87">
        <f>L525</f>
        <v>58685.51</v>
      </c>
      <c r="H548" s="87">
        <f>L530</f>
        <v>11765.43</v>
      </c>
      <c r="I548" s="87">
        <f>L535</f>
        <v>0</v>
      </c>
      <c r="J548" s="87">
        <f>L540</f>
        <v>0</v>
      </c>
      <c r="K548" s="87">
        <f>SUM(F548:J548)</f>
        <v>172379.27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56810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56810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74753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74753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233491.33000000002</v>
      </c>
      <c r="G551" s="89">
        <f t="shared" si="42"/>
        <v>58685.51</v>
      </c>
      <c r="H551" s="89">
        <f t="shared" si="42"/>
        <v>11765.43</v>
      </c>
      <c r="I551" s="89">
        <f t="shared" si="42"/>
        <v>0</v>
      </c>
      <c r="J551" s="89">
        <f t="shared" si="42"/>
        <v>0</v>
      </c>
      <c r="K551" s="89">
        <f t="shared" si="42"/>
        <v>303942.27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77874</v>
      </c>
      <c r="H574" s="18">
        <v>209418</v>
      </c>
      <c r="I574" s="87">
        <f>SUM(F574:H574)</f>
        <v>287292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6730</v>
      </c>
      <c r="G578" s="18">
        <v>56810</v>
      </c>
      <c r="H578" s="18">
        <v>74753</v>
      </c>
      <c r="I578" s="87">
        <f t="shared" si="47"/>
        <v>138293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75</v>
      </c>
      <c r="G581" s="18"/>
      <c r="H581" s="18"/>
      <c r="I581" s="87">
        <f t="shared" si="47"/>
        <v>75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49481</v>
      </c>
      <c r="I590" s="18">
        <v>16494</v>
      </c>
      <c r="J590" s="18">
        <v>16494</v>
      </c>
      <c r="K590" s="104">
        <f t="shared" ref="K590:K596" si="48">SUM(H590:J590)</f>
        <v>82469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235</v>
      </c>
      <c r="I594" s="18"/>
      <c r="J594" s="18"/>
      <c r="K594" s="104">
        <f t="shared" si="48"/>
        <v>235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16493</v>
      </c>
      <c r="I596" s="18"/>
      <c r="J596" s="18"/>
      <c r="K596" s="104">
        <f t="shared" si="48"/>
        <v>16493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66209</v>
      </c>
      <c r="I597" s="108">
        <f>SUM(I590:I596)</f>
        <v>16494</v>
      </c>
      <c r="J597" s="108">
        <f>SUM(J590:J596)</f>
        <v>16494</v>
      </c>
      <c r="K597" s="108">
        <f>SUM(K590:K596)</f>
        <v>99197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12018.65</v>
      </c>
      <c r="I603" s="18"/>
      <c r="J603" s="18"/>
      <c r="K603" s="104">
        <f>SUM(H603:J603)</f>
        <v>12018.65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12018.65</v>
      </c>
      <c r="I604" s="108">
        <f>SUM(I601:I603)</f>
        <v>0</v>
      </c>
      <c r="J604" s="108">
        <f>SUM(J601:J603)</f>
        <v>0</v>
      </c>
      <c r="K604" s="108">
        <f>SUM(K601:K603)</f>
        <v>12018.65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125842.29</v>
      </c>
      <c r="H616" s="109">
        <f>SUM(F51)</f>
        <v>125842.29000000001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548.83999999999992</v>
      </c>
      <c r="H617" s="109">
        <f>SUM(G51)</f>
        <v>548.84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23842.66</v>
      </c>
      <c r="H618" s="109">
        <f>SUM(H51)</f>
        <v>23842.66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225360.84000000003</v>
      </c>
      <c r="H620" s="109">
        <f>SUM(J51)</f>
        <v>225360.84000000003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116731.91</v>
      </c>
      <c r="H621" s="109">
        <f>F475</f>
        <v>116731.90999999968</v>
      </c>
      <c r="I621" s="121" t="s">
        <v>101</v>
      </c>
      <c r="J621" s="109">
        <f t="shared" ref="J621:J654" si="50">G621-H621</f>
        <v>3.2014213502407074E-10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-6909.97</v>
      </c>
      <c r="H623" s="109">
        <f>H475</f>
        <v>-6909.9700000000012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225360.84000000003</v>
      </c>
      <c r="H625" s="109">
        <f>J475</f>
        <v>225360.83999999997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1651601.6300000001</v>
      </c>
      <c r="H626" s="104">
        <f>SUM(F467)</f>
        <v>1651601.63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32933.31</v>
      </c>
      <c r="H627" s="104">
        <f>SUM(G467)</f>
        <v>32933.31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97090.91</v>
      </c>
      <c r="H628" s="104">
        <f>SUM(H467)</f>
        <v>97090.91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170.17000000000002</v>
      </c>
      <c r="H630" s="104">
        <f>SUM(J467)</f>
        <v>170.17000000000002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1604354.12</v>
      </c>
      <c r="H631" s="104">
        <f>SUM(F471)</f>
        <v>1604354.12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92027.059999999983</v>
      </c>
      <c r="H632" s="104">
        <f>SUM(H471)</f>
        <v>92027.06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12038.14</v>
      </c>
      <c r="H633" s="104">
        <f>I368</f>
        <v>12038.14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32933.31</v>
      </c>
      <c r="H634" s="104">
        <f>SUM(G471)</f>
        <v>32933.31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170.17000000000002</v>
      </c>
      <c r="H636" s="164">
        <f>SUM(J467)</f>
        <v>170.17000000000002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80017.69</v>
      </c>
      <c r="H637" s="164">
        <f>SUM(J471)</f>
        <v>80017.69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118847.99</v>
      </c>
      <c r="H638" s="104">
        <f>SUM(F460)</f>
        <v>118847.99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106512.85</v>
      </c>
      <c r="H639" s="104">
        <f>SUM(G460)</f>
        <v>106512.85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225360.84000000003</v>
      </c>
      <c r="H641" s="104">
        <f>SUM(I460)</f>
        <v>225360.84000000003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170.17000000000002</v>
      </c>
      <c r="H643" s="104">
        <f>H407</f>
        <v>170.17000000000002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170.17000000000002</v>
      </c>
      <c r="H645" s="104">
        <f>L407</f>
        <v>170.17000000000002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99197</v>
      </c>
      <c r="H646" s="104">
        <f>L207+L225+L243</f>
        <v>99197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12018.65</v>
      </c>
      <c r="H647" s="104">
        <f>(J256+J337)-(J254+J335)</f>
        <v>12018.65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66209</v>
      </c>
      <c r="H648" s="104">
        <f>H597</f>
        <v>66209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16494</v>
      </c>
      <c r="H649" s="104">
        <f>I597</f>
        <v>16494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16494</v>
      </c>
      <c r="H650" s="104">
        <f>J597</f>
        <v>16494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12163.58</v>
      </c>
      <c r="H651" s="104">
        <f>K262+K344</f>
        <v>12163.58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1265307.9100000001</v>
      </c>
      <c r="G659" s="19">
        <f>(L228+L308+L358)</f>
        <v>151178</v>
      </c>
      <c r="H659" s="19">
        <f>(L246+L327+L359)</f>
        <v>300665</v>
      </c>
      <c r="I659" s="19">
        <f>SUM(F659:H659)</f>
        <v>1717150.9100000001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10407.01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10407.01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66209</v>
      </c>
      <c r="G661" s="19">
        <f>(L225+L305)-(J225+J305)</f>
        <v>16494</v>
      </c>
      <c r="H661" s="19">
        <f>(L243+L324)-(J243+J324)</f>
        <v>16494</v>
      </c>
      <c r="I661" s="19">
        <f>SUM(F661:H661)</f>
        <v>99197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18823.650000000001</v>
      </c>
      <c r="G662" s="200">
        <f>SUM(G574:G586)+SUM(I601:I603)+L611</f>
        <v>134684</v>
      </c>
      <c r="H662" s="200">
        <f>SUM(H574:H586)+SUM(J601:J603)+L612</f>
        <v>284171</v>
      </c>
      <c r="I662" s="19">
        <f>SUM(F662:H662)</f>
        <v>437678.65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1169868.2500000002</v>
      </c>
      <c r="G663" s="19">
        <f>G659-SUM(G660:G662)</f>
        <v>0</v>
      </c>
      <c r="H663" s="19">
        <f>H659-SUM(H660:H662)</f>
        <v>0</v>
      </c>
      <c r="I663" s="19">
        <f>I659-SUM(I660:I662)</f>
        <v>1169868.25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44.46</v>
      </c>
      <c r="G664" s="249"/>
      <c r="H664" s="249"/>
      <c r="I664" s="19">
        <f>SUM(F664:H664)</f>
        <v>44.46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26312.83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26312.83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26312.83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26312.83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C38" sqref="C38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Harrisville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378751.83</v>
      </c>
      <c r="C9" s="230">
        <f>'DOE25'!G196+'DOE25'!G214+'DOE25'!G232+'DOE25'!G275+'DOE25'!G294+'DOE25'!G313</f>
        <v>148334.16</v>
      </c>
    </row>
    <row r="10" spans="1:3">
      <c r="A10" t="s">
        <v>779</v>
      </c>
      <c r="B10" s="241">
        <v>370926.31</v>
      </c>
      <c r="C10" s="241">
        <v>145269.38</v>
      </c>
    </row>
    <row r="11" spans="1:3">
      <c r="A11" t="s">
        <v>780</v>
      </c>
      <c r="B11" s="241">
        <v>7825.52</v>
      </c>
      <c r="C11" s="241">
        <v>3064.78</v>
      </c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378751.83</v>
      </c>
      <c r="C13" s="232">
        <f>SUM(C10:C12)</f>
        <v>148334.16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73494.44</v>
      </c>
      <c r="C18" s="230">
        <f>'DOE25'!G197+'DOE25'!G215+'DOE25'!G233+'DOE25'!G276+'DOE25'!G295+'DOE25'!G314</f>
        <v>22295.89</v>
      </c>
    </row>
    <row r="19" spans="1:3">
      <c r="A19" t="s">
        <v>779</v>
      </c>
      <c r="B19" s="241">
        <v>35808.410000000003</v>
      </c>
      <c r="C19" s="241">
        <v>10863.14</v>
      </c>
    </row>
    <row r="20" spans="1:3">
      <c r="A20" t="s">
        <v>780</v>
      </c>
      <c r="B20" s="241">
        <v>37686.03</v>
      </c>
      <c r="C20" s="241">
        <v>11432.75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73494.44</v>
      </c>
      <c r="C22" s="232">
        <f>SUM(C19:C21)</f>
        <v>22295.89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480</v>
      </c>
      <c r="C36" s="236">
        <f>'DOE25'!G199+'DOE25'!G217+'DOE25'!G235+'DOE25'!G278+'DOE25'!G297+'DOE25'!G316</f>
        <v>73.58</v>
      </c>
    </row>
    <row r="37" spans="1:3">
      <c r="A37" t="s">
        <v>779</v>
      </c>
      <c r="B37" s="241">
        <v>480</v>
      </c>
      <c r="C37" s="241">
        <v>73.58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480</v>
      </c>
      <c r="C40" s="232">
        <f>SUM(C37:C39)</f>
        <v>73.58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8" activePane="bottomLeft" state="frozen"/>
      <selection pane="bottomLeft" activeCell="D18" sqref="D18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Harrisville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1014266.9400000001</v>
      </c>
      <c r="D5" s="20">
        <f>SUM('DOE25'!L196:L199)+SUM('DOE25'!L214:L217)+SUM('DOE25'!L232:L235)-F5-G5</f>
        <v>1009616.3400000001</v>
      </c>
      <c r="E5" s="244"/>
      <c r="F5" s="256">
        <f>SUM('DOE25'!J196:J199)+SUM('DOE25'!J214:J217)+SUM('DOE25'!J232:J235)</f>
        <v>4517.6499999999996</v>
      </c>
      <c r="G5" s="53">
        <f>SUM('DOE25'!K196:K199)+SUM('DOE25'!K214:K217)+SUM('DOE25'!K232:K235)</f>
        <v>132.94999999999999</v>
      </c>
      <c r="H5" s="260"/>
    </row>
    <row r="6" spans="1:9">
      <c r="A6" s="32">
        <v>2100</v>
      </c>
      <c r="B6" t="s">
        <v>801</v>
      </c>
      <c r="C6" s="246">
        <f t="shared" si="0"/>
        <v>96688.639999999999</v>
      </c>
      <c r="D6" s="20">
        <f>'DOE25'!L201+'DOE25'!L219+'DOE25'!L237-F6-G6</f>
        <v>96688.639999999999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18060.900000000001</v>
      </c>
      <c r="D7" s="20">
        <f>'DOE25'!L202+'DOE25'!L220+'DOE25'!L238-F7-G7</f>
        <v>17661.900000000001</v>
      </c>
      <c r="E7" s="244"/>
      <c r="F7" s="256">
        <f>'DOE25'!J202+'DOE25'!J220+'DOE25'!J238</f>
        <v>0</v>
      </c>
      <c r="G7" s="53">
        <f>'DOE25'!K202+'DOE25'!K220+'DOE25'!K238</f>
        <v>399</v>
      </c>
      <c r="H7" s="260"/>
    </row>
    <row r="8" spans="1:9">
      <c r="A8" s="32">
        <v>2300</v>
      </c>
      <c r="B8" t="s">
        <v>802</v>
      </c>
      <c r="C8" s="246">
        <f t="shared" si="0"/>
        <v>94363.999999999971</v>
      </c>
      <c r="D8" s="244"/>
      <c r="E8" s="20">
        <f>'DOE25'!L203+'DOE25'!L221+'DOE25'!L239-F8-G8-D9-D11</f>
        <v>91754.499999999971</v>
      </c>
      <c r="F8" s="256">
        <f>'DOE25'!J203+'DOE25'!J221+'DOE25'!J239</f>
        <v>0</v>
      </c>
      <c r="G8" s="53">
        <f>'DOE25'!K203+'DOE25'!K221+'DOE25'!K239</f>
        <v>2609.5</v>
      </c>
      <c r="H8" s="260"/>
    </row>
    <row r="9" spans="1:9">
      <c r="A9" s="32">
        <v>2310</v>
      </c>
      <c r="B9" t="s">
        <v>818</v>
      </c>
      <c r="C9" s="246">
        <f t="shared" si="0"/>
        <v>13399.1</v>
      </c>
      <c r="D9" s="245">
        <f>10649.1+250+2160+90+250</f>
        <v>13399.1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5250</v>
      </c>
      <c r="D10" s="244"/>
      <c r="E10" s="245">
        <v>5250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31242</v>
      </c>
      <c r="D11" s="245">
        <v>31242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113763.43000000001</v>
      </c>
      <c r="D12" s="20">
        <f>'DOE25'!L204+'DOE25'!L222+'DOE25'!L240-F12-G12</f>
        <v>113419.43000000001</v>
      </c>
      <c r="E12" s="244"/>
      <c r="F12" s="256">
        <f>'DOE25'!J204+'DOE25'!J222+'DOE25'!J240</f>
        <v>0</v>
      </c>
      <c r="G12" s="53">
        <f>'DOE25'!K204+'DOE25'!K222+'DOE25'!K240</f>
        <v>344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110407.3</v>
      </c>
      <c r="D14" s="20">
        <f>'DOE25'!L206+'DOE25'!L224+'DOE25'!L242-F14-G14</f>
        <v>110407.3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99197</v>
      </c>
      <c r="D15" s="20">
        <f>'DOE25'!L207+'DOE25'!L225+'DOE25'!L243-F15-G15</f>
        <v>99197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801.23</v>
      </c>
      <c r="D16" s="244"/>
      <c r="E16" s="20">
        <f>'DOE25'!L208+'DOE25'!L226+'DOE25'!L244-F16-G16</f>
        <v>801.23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21559.839999999997</v>
      </c>
      <c r="D29" s="20">
        <f>'DOE25'!L357+'DOE25'!L358+'DOE25'!L359-'DOE25'!I366-F29-G29</f>
        <v>20691.339999999997</v>
      </c>
      <c r="E29" s="244"/>
      <c r="F29" s="256">
        <f>'DOE25'!J357+'DOE25'!J358+'DOE25'!J359</f>
        <v>0</v>
      </c>
      <c r="G29" s="53">
        <f>'DOE25'!K357+'DOE25'!K358+'DOE25'!K359</f>
        <v>868.5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92027.059999999983</v>
      </c>
      <c r="D31" s="20">
        <f>'DOE25'!L289+'DOE25'!L308+'DOE25'!L327+'DOE25'!L332+'DOE25'!L333+'DOE25'!L334-F31-G31</f>
        <v>82825.439999999988</v>
      </c>
      <c r="E31" s="244"/>
      <c r="F31" s="256">
        <f>'DOE25'!J289+'DOE25'!J308+'DOE25'!J327+'DOE25'!J332+'DOE25'!J333+'DOE25'!J334</f>
        <v>7501</v>
      </c>
      <c r="G31" s="53">
        <f>'DOE25'!K289+'DOE25'!K308+'DOE25'!K327+'DOE25'!K332+'DOE25'!K333+'DOE25'!K334</f>
        <v>1700.62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1595148.49</v>
      </c>
      <c r="E33" s="247">
        <f>SUM(E5:E31)</f>
        <v>97805.729999999967</v>
      </c>
      <c r="F33" s="247">
        <f>SUM(F5:F31)</f>
        <v>12018.65</v>
      </c>
      <c r="G33" s="247">
        <f>SUM(G5:G31)</f>
        <v>6054.57</v>
      </c>
      <c r="H33" s="247">
        <f>SUM(H5:H31)</f>
        <v>0</v>
      </c>
    </row>
    <row r="35" spans="2:8" ht="12" thickBot="1">
      <c r="B35" s="254" t="s">
        <v>847</v>
      </c>
      <c r="D35" s="255">
        <f>E33</f>
        <v>97805.729999999967</v>
      </c>
      <c r="E35" s="250"/>
    </row>
    <row r="36" spans="2:8" ht="12" thickTop="1">
      <c r="B36" t="s">
        <v>815</v>
      </c>
      <c r="D36" s="20">
        <f>D33</f>
        <v>1595148.49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39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Harrisville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31142.950000000004</v>
      </c>
      <c r="D8" s="95">
        <f>'DOE25'!G9</f>
        <v>287.27999999999997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64123.17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225360.84000000003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28374.95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2201.2199999999998</v>
      </c>
      <c r="D12" s="95">
        <f>'DOE25'!G13</f>
        <v>0</v>
      </c>
      <c r="E12" s="95">
        <f>'DOE25'!H13</f>
        <v>23610.66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261.56</v>
      </c>
      <c r="E13" s="95">
        <f>'DOE25'!H14</f>
        <v>232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125842.29</v>
      </c>
      <c r="D18" s="41">
        <f>SUM(D8:D17)</f>
        <v>548.83999999999992</v>
      </c>
      <c r="E18" s="41">
        <f>SUM(E8:E17)</f>
        <v>23842.66</v>
      </c>
      <c r="F18" s="41">
        <f>SUM(F8:F17)</f>
        <v>0</v>
      </c>
      <c r="G18" s="41">
        <f>SUM(G8:G17)</f>
        <v>225360.84000000003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28374.95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4875.8999999999996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4234.4799999999996</v>
      </c>
      <c r="D27" s="95">
        <f>'DOE25'!G28</f>
        <v>392.04</v>
      </c>
      <c r="E27" s="95">
        <f>'DOE25'!H28</f>
        <v>1979.1100000000001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156.80000000000001</v>
      </c>
      <c r="E29" s="95">
        <f>'DOE25'!H30</f>
        <v>398.57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9110.3799999999992</v>
      </c>
      <c r="D31" s="41">
        <f>SUM(D21:D30)</f>
        <v>548.84</v>
      </c>
      <c r="E31" s="41">
        <f>SUM(E21:E30)</f>
        <v>30752.63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-6909.97</v>
      </c>
      <c r="F46" s="95">
        <f>'DOE25'!I47</f>
        <v>0</v>
      </c>
      <c r="G46" s="95">
        <f>'DOE25'!J47</f>
        <v>225360.84000000003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91731.91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116731.91</v>
      </c>
      <c r="D49" s="41">
        <f>SUM(D34:D48)</f>
        <v>0</v>
      </c>
      <c r="E49" s="41">
        <f>SUM(E34:E48)</f>
        <v>-6909.97</v>
      </c>
      <c r="F49" s="41">
        <f>SUM(F34:F48)</f>
        <v>0</v>
      </c>
      <c r="G49" s="41">
        <f>SUM(G34:G48)</f>
        <v>225360.84000000003</v>
      </c>
      <c r="H49" s="124"/>
      <c r="I49" s="124"/>
    </row>
    <row r="50" spans="1:9" ht="12" thickTop="1">
      <c r="A50" s="38" t="s">
        <v>895</v>
      </c>
      <c r="B50" s="2"/>
      <c r="C50" s="41">
        <f>C49+C31</f>
        <v>125842.29000000001</v>
      </c>
      <c r="D50" s="41">
        <f>D49+D31</f>
        <v>548.84</v>
      </c>
      <c r="E50" s="41">
        <f>E49+E31</f>
        <v>23842.66</v>
      </c>
      <c r="F50" s="41">
        <f>F49+F31</f>
        <v>0</v>
      </c>
      <c r="G50" s="41">
        <f>G49+G31</f>
        <v>225360.84000000003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1056014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8016.75</v>
      </c>
      <c r="D56" s="24" t="s">
        <v>289</v>
      </c>
      <c r="E56" s="95">
        <f>'DOE25'!H78</f>
        <v>43834.35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428.45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170.17000000000002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10407.01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58527.02</v>
      </c>
      <c r="D60" s="95">
        <f>SUM('DOE25'!G97:G109)</f>
        <v>0</v>
      </c>
      <c r="E60" s="95">
        <f>SUM('DOE25'!H97:H109)</f>
        <v>20560.3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66972.22</v>
      </c>
      <c r="D61" s="130">
        <f>SUM(D56:D60)</f>
        <v>10407.01</v>
      </c>
      <c r="E61" s="130">
        <f>SUM(E56:E60)</f>
        <v>64394.649999999994</v>
      </c>
      <c r="F61" s="130">
        <f>SUM(F56:F60)</f>
        <v>0</v>
      </c>
      <c r="G61" s="130">
        <f>SUM(G56:G60)</f>
        <v>170.17000000000002</v>
      </c>
      <c r="H61"/>
      <c r="I61"/>
    </row>
    <row r="62" spans="1:9" ht="12" thickTop="1">
      <c r="A62" s="29" t="s">
        <v>175</v>
      </c>
      <c r="B62" s="6"/>
      <c r="C62" s="22">
        <f>C55+C61</f>
        <v>1122986.22</v>
      </c>
      <c r="D62" s="22">
        <f>D55+D61</f>
        <v>10407.01</v>
      </c>
      <c r="E62" s="22">
        <f>E55+E61</f>
        <v>64394.649999999994</v>
      </c>
      <c r="F62" s="22">
        <f>F55+F61</f>
        <v>0</v>
      </c>
      <c r="G62" s="22">
        <f>G55+G61</f>
        <v>170.17000000000002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13333.45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489376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11.55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806.58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503527.58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222.42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0</v>
      </c>
      <c r="D77" s="130">
        <f>SUM(D71:D76)</f>
        <v>222.42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503527.58</v>
      </c>
      <c r="D80" s="130">
        <f>SUM(D78:D79)+D77+D69</f>
        <v>222.42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5388.21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25087.83</v>
      </c>
      <c r="D87" s="95">
        <f>SUM('DOE25'!G152:G160)</f>
        <v>10140.299999999999</v>
      </c>
      <c r="E87" s="95">
        <f>SUM('DOE25'!H152:H160)</f>
        <v>27308.050000000003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25087.83</v>
      </c>
      <c r="D90" s="131">
        <f>SUM(D84:D89)</f>
        <v>10140.299999999999</v>
      </c>
      <c r="E90" s="131">
        <f>SUM(E84:E89)</f>
        <v>32696.260000000002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12163.58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12163.58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1651601.6300000001</v>
      </c>
      <c r="D103" s="86">
        <f>D62+D80+D90+D102</f>
        <v>32933.31</v>
      </c>
      <c r="E103" s="86">
        <f>E62+E80+E90+E102</f>
        <v>97090.91</v>
      </c>
      <c r="F103" s="86">
        <f>F62+F80+F90+F102</f>
        <v>0</v>
      </c>
      <c r="G103" s="86">
        <f>G62+G80+G102</f>
        <v>170.17000000000002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782660.9</v>
      </c>
      <c r="D108" s="24" t="s">
        <v>289</v>
      </c>
      <c r="E108" s="95">
        <f>('DOE25'!L275)+('DOE25'!L294)+('DOE25'!L313)</f>
        <v>64719.009999999995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230919.51</v>
      </c>
      <c r="D109" s="24" t="s">
        <v>289</v>
      </c>
      <c r="E109" s="95">
        <f>('DOE25'!L276)+('DOE25'!L295)+('DOE25'!L314)</f>
        <v>9376.82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686.53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1014266.9400000001</v>
      </c>
      <c r="D114" s="86">
        <f>SUM(D108:D113)</f>
        <v>0</v>
      </c>
      <c r="E114" s="86">
        <f>SUM(E108:E113)</f>
        <v>74095.829999999987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96688.639999999999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18060.900000000001</v>
      </c>
      <c r="D118" s="24" t="s">
        <v>289</v>
      </c>
      <c r="E118" s="95">
        <f>+('DOE25'!L281)+('DOE25'!L300)+('DOE25'!L319)</f>
        <v>16230.61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139005.09999999998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113763.43000000001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1700.62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110407.3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99197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801.23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32933.31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577923.6</v>
      </c>
      <c r="D127" s="86">
        <f>SUM(D117:D126)</f>
        <v>32933.31</v>
      </c>
      <c r="E127" s="86">
        <f>SUM(E117:E126)</f>
        <v>17931.23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80017.69</v>
      </c>
    </row>
    <row r="134" spans="1:7">
      <c r="A134" t="s">
        <v>233</v>
      </c>
      <c r="B134" s="32" t="s">
        <v>234</v>
      </c>
      <c r="C134" s="95">
        <f>'DOE25'!L262</f>
        <v>12163.58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90.4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79.77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-170.17000000000002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12163.58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80017.69</v>
      </c>
    </row>
    <row r="144" spans="1:7" ht="12.75" thickTop="1" thickBot="1">
      <c r="A144" s="33" t="s">
        <v>244</v>
      </c>
      <c r="C144" s="86">
        <f>(C114+C127+C143)</f>
        <v>1604354.12</v>
      </c>
      <c r="D144" s="86">
        <f>(D114+D127+D143)</f>
        <v>32933.31</v>
      </c>
      <c r="E144" s="86">
        <f>(E114+E127+E143)</f>
        <v>92027.059999999983</v>
      </c>
      <c r="F144" s="86">
        <f>(F114+F127+F143)</f>
        <v>0</v>
      </c>
      <c r="G144" s="86">
        <f>(G114+G127+G143)</f>
        <v>80017.69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Harrisville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26313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26313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847380</v>
      </c>
      <c r="D10" s="182">
        <f>ROUND((C10/$C$28)*100,1)</f>
        <v>49.6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240296</v>
      </c>
      <c r="D11" s="182">
        <f>ROUND((C11/$C$28)*100,1)</f>
        <v>14.1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687</v>
      </c>
      <c r="D13" s="182">
        <f>ROUND((C13/$C$28)*100,1)</f>
        <v>0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96689</v>
      </c>
      <c r="D15" s="182">
        <f t="shared" ref="D15:D27" si="0">ROUND((C15/$C$28)*100,1)</f>
        <v>5.7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34292</v>
      </c>
      <c r="D16" s="182">
        <f t="shared" si="0"/>
        <v>2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139806</v>
      </c>
      <c r="D17" s="182">
        <f t="shared" si="0"/>
        <v>8.1999999999999993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113763</v>
      </c>
      <c r="D18" s="182">
        <f t="shared" si="0"/>
        <v>6.7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1701</v>
      </c>
      <c r="D19" s="182">
        <f t="shared" si="0"/>
        <v>0.1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110407</v>
      </c>
      <c r="D20" s="182">
        <f t="shared" si="0"/>
        <v>6.5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99197</v>
      </c>
      <c r="D21" s="182">
        <f t="shared" si="0"/>
        <v>5.8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22525.989999999998</v>
      </c>
      <c r="D27" s="182">
        <f t="shared" si="0"/>
        <v>1.3</v>
      </c>
    </row>
    <row r="28" spans="1:4">
      <c r="B28" s="187" t="s">
        <v>723</v>
      </c>
      <c r="C28" s="180">
        <f>SUM(C10:C27)</f>
        <v>1706743.99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1706743.99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1056014</v>
      </c>
      <c r="D35" s="182">
        <f t="shared" ref="D35:D40" si="1">ROUND((C35/$C$41)*100,1)</f>
        <v>60</v>
      </c>
    </row>
    <row r="36" spans="1:4">
      <c r="B36" s="185" t="s">
        <v>743</v>
      </c>
      <c r="C36" s="179">
        <f>SUM('DOE25'!F111:J111)-SUM('DOE25'!G96:G109)+('DOE25'!F173+'DOE25'!F174+'DOE25'!I173+'DOE25'!I174)-C35</f>
        <v>131537.0399999998</v>
      </c>
      <c r="D36" s="182">
        <f t="shared" si="1"/>
        <v>7.5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502721</v>
      </c>
      <c r="D37" s="182">
        <f t="shared" si="1"/>
        <v>28.6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1029</v>
      </c>
      <c r="D38" s="182">
        <f t="shared" si="1"/>
        <v>0.1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67924</v>
      </c>
      <c r="D39" s="182">
        <f t="shared" si="1"/>
        <v>3.9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1759225.0399999998</v>
      </c>
      <c r="D41" s="184">
        <f>SUM(D35:D40)</f>
        <v>100.1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88" t="str">
        <f>'DOE25'!A2</f>
        <v>Harrisville</v>
      </c>
      <c r="G2" s="289"/>
      <c r="H2" s="289"/>
      <c r="I2" s="289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2012-06-19T17:07:30Z</cp:lastPrinted>
  <dcterms:created xsi:type="dcterms:W3CDTF">1997-12-04T19:04:30Z</dcterms:created>
  <dcterms:modified xsi:type="dcterms:W3CDTF">2012-11-28T14:43:18Z</dcterms:modified>
</cp:coreProperties>
</file>