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1" i="1" l="1"/>
  <c r="F471" i="1"/>
  <c r="J467" i="1"/>
  <c r="H467" i="1"/>
  <c r="H313" i="1"/>
  <c r="H300" i="1"/>
  <c r="H101" i="1"/>
  <c r="H154" i="1"/>
  <c r="H153" i="1"/>
  <c r="F95" i="1"/>
  <c r="F29" i="1"/>
  <c r="F9" i="1"/>
  <c r="H612" i="1" l="1"/>
  <c r="H542" i="1"/>
  <c r="H541" i="1"/>
  <c r="H540" i="1"/>
  <c r="H522" i="1"/>
  <c r="H521" i="1"/>
  <c r="H520" i="1"/>
  <c r="H359" i="1"/>
  <c r="H358" i="1"/>
  <c r="H357" i="1"/>
  <c r="H244" i="1"/>
  <c r="H243" i="1"/>
  <c r="H242" i="1"/>
  <c r="H240" i="1"/>
  <c r="H239" i="1"/>
  <c r="H237" i="1"/>
  <c r="H235" i="1"/>
  <c r="H234" i="1"/>
  <c r="H233" i="1"/>
  <c r="H232" i="1"/>
  <c r="H226" i="1"/>
  <c r="H225" i="1"/>
  <c r="H224" i="1"/>
  <c r="H221" i="1"/>
  <c r="H220" i="1"/>
  <c r="H219" i="1"/>
  <c r="H217" i="1"/>
  <c r="H215" i="1"/>
  <c r="H214" i="1"/>
  <c r="H208" i="1"/>
  <c r="H207" i="1"/>
  <c r="H206" i="1"/>
  <c r="H203" i="1"/>
  <c r="H202" i="1"/>
  <c r="H201" i="1"/>
  <c r="H197" i="1"/>
  <c r="H19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E13" i="13" s="1"/>
  <c r="C13" i="13" s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2" i="10" s="1"/>
  <c r="L235" i="1"/>
  <c r="F6" i="13"/>
  <c r="G6" i="13"/>
  <c r="L201" i="1"/>
  <c r="L219" i="1"/>
  <c r="L237" i="1"/>
  <c r="C117" i="2" s="1"/>
  <c r="F7" i="13"/>
  <c r="G7" i="13"/>
  <c r="L202" i="1"/>
  <c r="L220" i="1"/>
  <c r="L238" i="1"/>
  <c r="C118" i="2" s="1"/>
  <c r="F12" i="13"/>
  <c r="G12" i="13"/>
  <c r="L204" i="1"/>
  <c r="L222" i="1"/>
  <c r="L240" i="1"/>
  <c r="F14" i="13"/>
  <c r="D14" i="13" s="1"/>
  <c r="C14" i="13" s="1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D126" i="2" s="1"/>
  <c r="D127" i="2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E109" i="2" s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5" i="10"/>
  <c r="C19" i="10"/>
  <c r="C20" i="10"/>
  <c r="L249" i="1"/>
  <c r="L331" i="1"/>
  <c r="L253" i="1"/>
  <c r="C24" i="10" s="1"/>
  <c r="L267" i="1"/>
  <c r="L268" i="1"/>
  <c r="L348" i="1"/>
  <c r="L349" i="1"/>
  <c r="I664" i="1"/>
  <c r="I669" i="1"/>
  <c r="F660" i="1"/>
  <c r="G660" i="1"/>
  <c r="H660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10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E121" i="2"/>
  <c r="E122" i="2"/>
  <c r="E123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G640" i="1"/>
  <c r="H640" i="1"/>
  <c r="G641" i="1"/>
  <c r="G642" i="1"/>
  <c r="H642" i="1"/>
  <c r="G643" i="1"/>
  <c r="H643" i="1"/>
  <c r="G644" i="1"/>
  <c r="H644" i="1"/>
  <c r="G648" i="1"/>
  <c r="G650" i="1"/>
  <c r="G651" i="1"/>
  <c r="J651" i="1" s="1"/>
  <c r="H651" i="1"/>
  <c r="G652" i="1"/>
  <c r="H652" i="1"/>
  <c r="J652" i="1" s="1"/>
  <c r="G653" i="1"/>
  <c r="H653" i="1"/>
  <c r="J653" i="1" s="1"/>
  <c r="H654" i="1"/>
  <c r="J351" i="1"/>
  <c r="F191" i="1"/>
  <c r="G163" i="2"/>
  <c r="G159" i="2"/>
  <c r="C18" i="2"/>
  <c r="F31" i="2"/>
  <c r="C26" i="10"/>
  <c r="L327" i="1"/>
  <c r="L350" i="1"/>
  <c r="L289" i="1"/>
  <c r="A31" i="12"/>
  <c r="C69" i="2"/>
  <c r="A40" i="12"/>
  <c r="G8" i="2"/>
  <c r="G161" i="2"/>
  <c r="D61" i="2"/>
  <c r="D62" i="2" s="1"/>
  <c r="E49" i="2"/>
  <c r="D18" i="13"/>
  <c r="C18" i="13" s="1"/>
  <c r="F102" i="2"/>
  <c r="D18" i="2"/>
  <c r="E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E31" i="2"/>
  <c r="C31" i="2"/>
  <c r="G61" i="2"/>
  <c r="D19" i="13"/>
  <c r="C19" i="13" s="1"/>
  <c r="L533" i="1" l="1"/>
  <c r="J641" i="1"/>
  <c r="G661" i="1"/>
  <c r="G31" i="13"/>
  <c r="G33" i="13" s="1"/>
  <c r="F31" i="13"/>
  <c r="I337" i="1"/>
  <c r="I351" i="1" s="1"/>
  <c r="C13" i="10"/>
  <c r="E114" i="2"/>
  <c r="A22" i="12"/>
  <c r="C11" i="10"/>
  <c r="C10" i="10"/>
  <c r="F139" i="1"/>
  <c r="C62" i="2"/>
  <c r="D50" i="2"/>
  <c r="J616" i="1"/>
  <c r="G570" i="1"/>
  <c r="L528" i="1"/>
  <c r="L523" i="1"/>
  <c r="L361" i="1"/>
  <c r="C27" i="10" s="1"/>
  <c r="D29" i="13"/>
  <c r="C29" i="13" s="1"/>
  <c r="C131" i="2"/>
  <c r="L255" i="1"/>
  <c r="C122" i="2"/>
  <c r="C121" i="2"/>
  <c r="C16" i="10"/>
  <c r="D6" i="13"/>
  <c r="C6" i="13" s="1"/>
  <c r="C110" i="2"/>
  <c r="L246" i="1"/>
  <c r="H659" i="1" s="1"/>
  <c r="H663" i="1" s="1"/>
  <c r="H671" i="1" s="1"/>
  <c r="C6" i="10" s="1"/>
  <c r="L228" i="1"/>
  <c r="C124" i="2"/>
  <c r="K256" i="1"/>
  <c r="K270" i="1" s="1"/>
  <c r="G649" i="1"/>
  <c r="J649" i="1" s="1"/>
  <c r="C21" i="10"/>
  <c r="H646" i="1"/>
  <c r="D15" i="13"/>
  <c r="C15" i="13" s="1"/>
  <c r="I256" i="1"/>
  <c r="I270" i="1" s="1"/>
  <c r="C18" i="10"/>
  <c r="D7" i="13"/>
  <c r="C7" i="13" s="1"/>
  <c r="C111" i="2"/>
  <c r="C109" i="2"/>
  <c r="G256" i="1"/>
  <c r="G270" i="1" s="1"/>
  <c r="F256" i="1"/>
  <c r="F270" i="1" s="1"/>
  <c r="C108" i="2"/>
  <c r="L210" i="1"/>
  <c r="C17" i="10"/>
  <c r="C123" i="2"/>
  <c r="F661" i="1"/>
  <c r="I661" i="1" s="1"/>
  <c r="J648" i="1"/>
  <c r="D12" i="13"/>
  <c r="C12" i="13" s="1"/>
  <c r="C120" i="2"/>
  <c r="C119" i="2"/>
  <c r="F659" i="1"/>
  <c r="C80" i="2"/>
  <c r="E77" i="2"/>
  <c r="E80" i="2" s="1"/>
  <c r="F103" i="2"/>
  <c r="L426" i="1"/>
  <c r="L433" i="1" s="1"/>
  <c r="G637" i="1" s="1"/>
  <c r="J637" i="1" s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F168" i="1"/>
  <c r="C39" i="10" s="1"/>
  <c r="J139" i="1"/>
  <c r="J621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G544" i="1"/>
  <c r="H544" i="1"/>
  <c r="K550" i="1"/>
  <c r="F143" i="2"/>
  <c r="F144" i="2" s="1"/>
  <c r="E144" i="2" l="1"/>
  <c r="F663" i="1"/>
  <c r="C36" i="10"/>
  <c r="C38" i="10"/>
  <c r="F192" i="1"/>
  <c r="G626" i="1" s="1"/>
  <c r="J626" i="1" s="1"/>
  <c r="L570" i="1"/>
  <c r="L544" i="1"/>
  <c r="K551" i="1"/>
  <c r="G634" i="1"/>
  <c r="J634" i="1" s="1"/>
  <c r="L256" i="1"/>
  <c r="L270" i="1" s="1"/>
  <c r="G631" i="1" s="1"/>
  <c r="J631" i="1" s="1"/>
  <c r="H666" i="1"/>
  <c r="C127" i="2"/>
  <c r="C28" i="10"/>
  <c r="D25" i="10" s="1"/>
  <c r="C114" i="2"/>
  <c r="H647" i="1"/>
  <c r="J647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 l="1"/>
  <c r="D39" i="10" s="1"/>
  <c r="D12" i="10"/>
  <c r="D13" i="10"/>
  <c r="D16" i="10"/>
  <c r="D18" i="10"/>
  <c r="D26" i="10"/>
  <c r="D19" i="10"/>
  <c r="C144" i="2"/>
  <c r="D15" i="10"/>
  <c r="D27" i="10"/>
  <c r="D23" i="10"/>
  <c r="D11" i="10"/>
  <c r="D24" i="10"/>
  <c r="D21" i="10"/>
  <c r="D22" i="10"/>
  <c r="C30" i="10"/>
  <c r="D17" i="10"/>
  <c r="D10" i="10"/>
  <c r="D20" i="10"/>
  <c r="G636" i="1"/>
  <c r="J636" i="1" s="1"/>
  <c r="H645" i="1"/>
  <c r="J645" i="1" s="1"/>
  <c r="D33" i="13"/>
  <c r="D36" i="13" s="1"/>
  <c r="G663" i="1"/>
  <c r="I659" i="1"/>
  <c r="I663" i="1" s="1"/>
  <c r="D37" i="10"/>
  <c r="D40" i="10"/>
  <c r="D36" i="10"/>
  <c r="D38" i="10"/>
  <c r="J625" i="1"/>
  <c r="H655" i="1"/>
  <c r="D35" i="10" l="1"/>
  <c r="D41" i="10" s="1"/>
  <c r="D28" i="10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<sst xmlns="http://schemas.openxmlformats.org/spreadsheetml/2006/main" count="3955" uniqueCount="922">
  <si>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</si>
  <si>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</si>
  <si>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</si>
  <si>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</si>
  <si>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</si>
  <si>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</si>
  <si>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</si>
  <si>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</si>
  <si>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</si>
  <si>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</si>
  <si>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</si>
  <si>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</si>
  <si>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</si>
  <si>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</si>
  <si>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</si>
  <si>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</si>
  <si>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</si>
  <si>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</si>
  <si>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</si>
  <si>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</si>
  <si>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</si>
  <si>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</si>
  <si>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</si>
  <si>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</si>
  <si>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</si>
  <si>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</si>
  <si>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</si>
  <si>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</si>
  <si>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</si>
  <si>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</si>
  <si>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</si>
  <si>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</si>
  <si>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</si>
  <si>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</si>
  <si>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</si>
  <si>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</si>
  <si>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</si>
  <si>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</si>
  <si>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</si>
  <si>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</si>
  <si>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</si>
  <si>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</si>
  <si>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</si>
  <si>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</si>
  <si>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</si>
  <si>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</si>
  <si>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</si>
  <si>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</si>
  <si>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</si>
  <si>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</si>
  <si>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</si>
  <si>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</si>
  <si>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</si>
  <si>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</si>
  <si>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</si>
  <si>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</si>
  <si>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</si>
  <si>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</si>
  <si>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</si>
  <si>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</si>
  <si>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</si>
  <si>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</si>
  <si>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</si>
  <si>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</si>
  <si>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</si>
  <si>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</si>
  <si>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</si>
  <si>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</si>
  <si>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</si>
  <si>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</si>
  <si>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</si>
  <si>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</si>
  <si>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</si>
  <si>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</si>
  <si>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</si>
  <si>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</si>
  <si>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</si>
  <si>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</si>
  <si>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</si>
  <si>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</si>
  <si>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</si>
  <si>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</si>
  <si>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</si>
  <si>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</si>
  <si>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</si>
  <si>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</si>
  <si>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</si>
  <si>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</si>
  <si>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</si>
  <si>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</si>
  <si>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</si>
  <si>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</si>
  <si>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</si>
  <si>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</si>
  <si>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</si>
  <si>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</si>
  <si>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</si>
  <si>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</si>
  <si>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</si>
  <si>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</si>
  <si>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</si>
  <si>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</si>
  <si>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</si>
  <si>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</si>
  <si>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</si>
  <si>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</si>
  <si>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</si>
  <si>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</si>
  <si>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</si>
  <si>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</si>
  <si>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</si>
  <si>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</si>
  <si>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</si>
  <si>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</si>
  <si>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</si>
  <si>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</si>
  <si>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</si>
  <si>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</si>
  <si>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</si>
  <si>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</si>
  <si>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</si>
  <si>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</si>
  <si>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</si>
  <si>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</si>
  <si>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</si>
  <si>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</si>
  <si>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</si>
  <si>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</si>
  <si>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</si>
  <si>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</si>
  <si>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</si>
  <si>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</si>
  <si>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</si>
  <si>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</si>
  <si>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</si>
  <si>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</si>
  <si>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</si>
  <si>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</si>
  <si>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</si>
  <si>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</si>
  <si>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</si>
  <si>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</si>
  <si>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</si>
  <si>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</si>
  <si>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</si>
  <si>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</si>
  <si>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</si>
  <si>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</si>
  <si>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</si>
  <si>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</si>
  <si>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</si>
  <si>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</si>
  <si>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</si>
  <si>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</si>
  <si>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</si>
  <si>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</si>
  <si>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</si>
  <si>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</si>
  <si>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</si>
  <si>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</si>
  <si>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</si>
  <si>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</si>
  <si>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</si>
  <si>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</si>
  <si>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</si>
  <si>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</si>
  <si>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</si>
  <si>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</si>
  <si>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</si>
  <si>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</si>
  <si>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</si>
  <si>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</si>
  <si>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</si>
  <si>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</si>
  <si>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</si>
  <si>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</si>
  <si>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</si>
  <si>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</si>
  <si>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</si>
  <si>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</si>
  <si>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</si>
  <si>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</si>
  <si>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</si>
  <si>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</si>
  <si>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</si>
  <si>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</si>
  <si>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</si>
  <si>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</si>
  <si>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</si>
  <si>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</si>
  <si>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</si>
  <si>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</si>
  <si>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</si>
  <si>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</si>
  <si>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</si>
  <si>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</si>
  <si>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</si>
  <si>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</si>
  <si>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</si>
  <si>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</si>
  <si>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</si>
  <si>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</si>
  <si>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</si>
  <si>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</si>
  <si>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</si>
  <si>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</si>
  <si>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</si>
  <si>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</si>
  <si>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</si>
  <si>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</si>
  <si>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</si>
  <si>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</si>
  <si>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</si>
  <si>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</si>
  <si>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</si>
  <si>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</si>
  <si>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</si>
  <si>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</si>
  <si>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</si>
  <si>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</si>
  <si>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</si>
  <si>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</si>
  <si>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</si>
  <si>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</si>
  <si>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</si>
  <si>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</si>
  <si>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</si>
  <si>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</si>
  <si>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</si>
  <si>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</si>
  <si>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</si>
  <si>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</si>
  <si>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</si>
  <si>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</si>
  <si>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</si>
  <si>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</si>
  <si>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</si>
  <si>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</si>
  <si>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</si>
  <si>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</si>
  <si>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</si>
  <si>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</si>
  <si>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</si>
  <si>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</si>
  <si>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</si>
  <si>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</si>
  <si>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</si>
  <si>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</si>
  <si>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</si>
  <si>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</si>
  <si>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</si>
  <si>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</si>
  <si>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</si>
  <si>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</si>
  <si>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</si>
  <si>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</si>
  <si>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</si>
  <si>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</si>
  <si>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</si>
  <si>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</si>
  <si>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</si>
  <si>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</si>
  <si>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</si>
  <si>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</si>
  <si>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</si>
  <si>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</si>
  <si>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</si>
  <si>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</si>
  <si>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</si>
  <si>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</si>
  <si>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</si>
  <si>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</si>
  <si>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</si>
  <si>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</si>
  <si>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</si>
  <si>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</si>
  <si>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</si>
  <si>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</si>
  <si>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</si>
  <si>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</si>
  <si>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</si>
  <si>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</si>
  <si>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</si>
  <si>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</si>
  <si>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</si>
  <si>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</si>
  <si>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</si>
  <si>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</si>
  <si>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</si>
  <si>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</si>
  <si>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</si>
  <si>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</si>
  <si>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</si>
  <si>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</si>
  <si>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</si>
  <si>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</si>
  <si>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</si>
  <si>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</si>
  <si>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</si>
  <si>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</si>
  <si>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</si>
  <si>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</si>
  <si>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</si>
  <si>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</si>
  <si>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</si>
  <si>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</si>
  <si>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</si>
  <si>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</si>
  <si>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</si>
  <si>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</si>
  <si>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</si>
  <si>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</si>
  <si>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</si>
  <si>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</si>
  <si>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</si>
  <si>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</si>
  <si>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</si>
  <si>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</si>
  <si>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</si>
  <si>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</si>
  <si>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</si>
  <si>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</si>
  <si>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</si>
  <si>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</si>
  <si>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</si>
  <si>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</si>
  <si>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</si>
  <si>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</si>
  <si>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</si>
  <si>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</si>
  <si>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</si>
  <si>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</si>
  <si>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</si>
  <si>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</si>
  <si>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</si>
  <si>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</si>
  <si>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</si>
  <si>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</si>
  <si>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</si>
  <si>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</si>
  <si>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</si>
  <si>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</si>
  <si>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</si>
  <si>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</si>
  <si>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</si>
  <si>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</si>
  <si>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</si>
  <si>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</si>
  <si>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</si>
  <si>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</si>
  <si>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</si>
  <si>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</si>
  <si>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</si>
  <si>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</si>
  <si>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</si>
  <si>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</si>
  <si>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</si>
  <si>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</si>
  <si>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</si>
  <si>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</si>
  <si>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</si>
  <si>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</si>
  <si>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</si>
  <si>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</si>
  <si>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</si>
  <si>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</si>
  <si>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</si>
  <si>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</si>
  <si>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</si>
  <si>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</si>
  <si>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</si>
  <si>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</si>
  <si>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</si>
  <si>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</si>
  <si>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</si>
  <si>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</si>
  <si>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</si>
  <si>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</si>
  <si>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</si>
  <si>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</si>
  <si>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</si>
  <si>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</si>
  <si>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</si>
  <si>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</si>
  <si>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</si>
  <si>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</si>
  <si>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</si>
  <si>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</si>
  <si>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</si>
  <si>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</si>
  <si>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</si>
  <si>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</si>
  <si>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</si>
  <si>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</si>
  <si>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</si>
  <si>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</si>
  <si>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</si>
  <si>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</si>
  <si>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</si>
  <si>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</si>
  <si>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</si>
  <si>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</si>
  <si>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</si>
  <si>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</si>
  <si>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</si>
  <si>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</si>
  <si>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</si>
  <si>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</si>
  <si>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</si>
  <si>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</si>
  <si>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</si>
  <si>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</si>
  <si>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</si>
  <si>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</si>
  <si>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</si>
  <si>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</si>
  <si>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</si>
  <si>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</si>
  <si>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</si>
  <si>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</si>
  <si>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</si>
  <si>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</si>
  <si>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</si>
  <si>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</si>
  <si>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</si>
  <si>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</si>
  <si>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</si>
  <si>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</si>
  <si>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</si>
  <si>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</si>
  <si>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</si>
  <si>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</si>
  <si>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</si>
  <si>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</si>
  <si>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</si>
  <si>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</si>
  <si>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</si>
  <si>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</si>
  <si>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</si>
  <si>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</si>
  <si>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</si>
  <si>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</si>
  <si>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</si>
  <si>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</si>
  <si>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</si>
  <si>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</si>
  <si>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</si>
  <si>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</si>
  <si>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</si>
  <si>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</si>
  <si>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</si>
  <si>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</si>
  <si>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</si>
  <si>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</si>
  <si>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</si>
  <si>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</si>
  <si>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</si>
  <si>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</si>
  <si>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</si>
  <si>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</si>
  <si>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</si>
  <si>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</si>
  <si>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</si>
  <si>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</si>
  <si>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</si>
  <si>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</si>
  <si>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</si>
  <si>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</si>
  <si>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</si>
  <si>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</si>
  <si>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</si>
  <si>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</si>
  <si>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</si>
  <si>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</si>
  <si>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</si>
  <si>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</si>
  <si>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</si>
  <si>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</si>
  <si>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</si>
  <si>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</si>
  <si>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</si>
  <si>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</si>
  <si>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</si>
  <si>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</si>
  <si>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</si>
  <si>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</si>
  <si>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</si>
  <si>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</si>
  <si>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</si>
  <si>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</si>
  <si>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</si>
  <si>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</si>
  <si>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</si>
  <si>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</si>
  <si>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</si>
  <si>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</si>
  <si>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</si>
  <si>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</si>
  <si>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</si>
  <si>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</si>
  <si>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</si>
  <si>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</si>
  <si>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</si>
  <si>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</si>
  <si>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</si>
  <si>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</si>
  <si>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</si>
  <si>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</si>
  <si>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</si>
  <si>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</si>
  <si>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</si>
  <si>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</si>
  <si>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</si>
  <si>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</si>
  <si>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</si>
  <si>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</si>
  <si>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</si>
  <si>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</si>
  <si>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</si>
  <si>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</si>
  <si>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</si>
  <si>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</si>
  <si>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</si>
  <si>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</si>
  <si>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</si>
  <si>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</si>
  <si>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</si>
  <si>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</si>
  <si>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</si>
  <si>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</si>
  <si>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</si>
  <si>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</si>
  <si>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</si>
  <si>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</si>
  <si>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</si>
  <si>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</si>
  <si>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</si>
  <si>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</si>
  <si>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</si>
  <si>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</si>
  <si>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</si>
  <si>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</si>
  <si>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</si>
  <si>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</si>
  <si>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</si>
  <si>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</si>
  <si>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</si>
  <si>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</si>
  <si>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</si>
  <si>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</si>
  <si>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</si>
  <si>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</si>
  <si>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</si>
  <si>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</si>
  <si>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</si>
  <si>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</si>
  <si>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</si>
  <si>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</si>
  <si>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</si>
  <si>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</si>
  <si>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</si>
  <si>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</si>
  <si>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</si>
  <si>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</si>
  <si>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</si>
  <si>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</si>
  <si>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</si>
  <si>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</si>
  <si>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</si>
  <si>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</si>
  <si>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</si>
  <si>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</si>
  <si>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</si>
  <si>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</si>
  <si>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</si>
  <si>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</si>
  <si>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</si>
  <si>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</si>
  <si>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</si>
  <si>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</si>
  <si>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</si>
  <si>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</si>
  <si>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</si>
  <si>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</si>
  <si>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</si>
  <si>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</si>
  <si>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</si>
  <si>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</si>
  <si>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</si>
  <si>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</si>
  <si>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</si>
  <si>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</si>
  <si>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</si>
  <si>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</si>
  <si>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</si>
  <si>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</si>
  <si>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</si>
  <si>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</si>
  <si>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</si>
  <si>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</si>
  <si>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</si>
  <si>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</si>
  <si>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</si>
  <si>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</si>
  <si>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</si>
  <si>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</si>
  <si>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</si>
  <si>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</si>
  <si>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</si>
  <si>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</si>
  <si>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</si>
  <si>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</si>
  <si>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</si>
  <si>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</si>
  <si>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</si>
  <si>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</si>
  <si>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</si>
  <si>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</si>
  <si>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</si>
  <si>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</si>
  <si>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</si>
  <si>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</si>
  <si>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</si>
  <si>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</si>
  <si>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</si>
  <si>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</si>
  <si>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</si>
  <si>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</si>
  <si>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</si>
  <si>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</si>
  <si>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</si>
  <si>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</si>
  <si>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</si>
  <si>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</si>
  <si>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</si>
  <si>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</si>
  <si>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</si>
  <si>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</si>
  <si>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</si>
  <si>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</si>
  <si>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</si>
  <si>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</si>
  <si>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</si>
  <si>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</si>
  <si>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</si>
  <si>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</si>
  <si>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</si>
  <si>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</si>
  <si>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</si>
  <si>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</si>
  <si>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</si>
  <si>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</si>
  <si>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</si>
  <si>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</si>
  <si>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</si>
  <si>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</si>
  <si>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</si>
  <si>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</si>
  <si>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</si>
  <si>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</si>
  <si>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</si>
  <si>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</si>
  <si>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</si>
  <si>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</si>
  <si>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</si>
  <si>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</si>
  <si>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</si>
  <si>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</si>
  <si>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</si>
  <si>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</si>
  <si>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</si>
  <si>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</si>
  <si>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</si>
  <si>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</si>
  <si>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</si>
  <si>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</si>
  <si>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</si>
  <si>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</si>
  <si>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</si>
  <si>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</si>
  <si>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</si>
  <si>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</si>
  <si>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</si>
  <si>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</si>
  <si>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</si>
  <si>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</si>
  <si>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</si>
  <si>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</si>
  <si>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</si>
  <si>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</si>
  <si>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</si>
  <si>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</si>
  <si>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</si>
  <si>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</si>
  <si>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</si>
  <si>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</si>
  <si>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</si>
  <si>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</si>
  <si>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</si>
  <si>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</si>
  <si>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</si>
  <si>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</si>
  <si>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</si>
  <si>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</si>
  <si>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</si>
  <si>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</si>
  <si>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</si>
  <si>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</si>
  <si>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</si>
  <si>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</si>
  <si>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</si>
  <si>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</si>
  <si>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</si>
  <si>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</si>
  <si>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</si>
  <si>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</si>
  <si>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</si>
  <si>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</si>
  <si>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</si>
  <si>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</si>
  <si>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</si>
  <si>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</si>
  <si>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</si>
  <si>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</si>
  <si>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</si>
  <si>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</si>
  <si>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</si>
  <si>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</si>
  <si>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</si>
  <si>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</si>
  <si>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</si>
  <si>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</si>
  <si>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</si>
  <si>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</si>
  <si>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</si>
  <si>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</si>
  <si>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</si>
  <si>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</si>
  <si>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</si>
  <si>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</si>
  <si>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</si>
  <si>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</si>
  <si>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</si>
  <si>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</si>
  <si>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</si>
  <si>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</si>
  <si>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</si>
  <si>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</si>
  <si>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</si>
  <si>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</si>
  <si>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</si>
  <si>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</si>
  <si>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</si>
  <si>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</si>
  <si>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</si>
  <si>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</si>
  <si>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</si>
  <si>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</si>
  <si>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</si>
  <si>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</si>
  <si>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</si>
  <si>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</si>
  <si>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</si>
  <si>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</si>
  <si>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</si>
  <si>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</si>
  <si>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</si>
  <si>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</si>
  <si>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</si>
  <si>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</si>
  <si>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</si>
  <si>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</si>
  <si>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</si>
  <si>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</si>
  <si>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</si>
  <si>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</si>
  <si>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</si>
  <si>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</si>
  <si>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</si>
  <si>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</si>
  <si>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</si>
  <si>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</si>
  <si>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</si>
  <si>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</si>
  <si>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</si>
  <si>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</si>
  <si>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</si>
  <si>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</si>
  <si>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</si>
  <si>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</si>
  <si>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</si>
  <si>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</si>
  <si>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</si>
  <si>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</si>
  <si>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</si>
  <si>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</si>
  <si>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</si>
  <si>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</si>
  <si>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</si>
  <si>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</si>
  <si>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</si>
  <si>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</si>
  <si>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</si>
  <si>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</si>
  <si>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</si>
  <si>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</si>
  <si>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</si>
  <si>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</si>
  <si>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</si>
  <si>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</si>
  <si>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</si>
  <si>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</si>
  <si>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</si>
  <si>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</si>
  <si>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</si>
  <si>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</si>
  <si>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</si>
  <si>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</si>
  <si>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</si>
  <si>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</si>
  <si>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</si>
  <si>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</si>
  <si>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</si>
  <si>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</si>
  <si>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</si>
  <si>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</si>
  <si>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</si>
  <si>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</si>
  <si>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</si>
  <si>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</si>
  <si>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</si>
  <si>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</si>
  <si>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</si>
  <si>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</si>
  <si>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</si>
  <si>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</si>
  <si>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</si>
  <si>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</si>
  <si>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</si>
  <si>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</si>
  <si>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</si>
  <si>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</si>
  <si>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</si>
  <si>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</si>
  <si>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</si>
  <si>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</si>
  <si>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</si>
  <si>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</si>
  <si>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</si>
  <si>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</si>
  <si>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</si>
  <si>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</si>
  <si>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</si>
  <si>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</si>
  <si>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</si>
  <si>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</si>
  <si>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</si>
  <si>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</si>
  <si>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</si>
  <si>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</si>
  <si>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</si>
  <si>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</si>
  <si>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</si>
  <si>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</si>
  <si>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</si>
  <si>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</si>
  <si>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</si>
  <si>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</si>
  <si>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</si>
  <si>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</si>
  <si>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</si>
  <si>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</si>
  <si>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</si>
  <si>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</si>
  <si>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</si>
  <si>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</si>
  <si>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</si>
  <si>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</si>
  <si>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</si>
  <si>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</si>
  <si>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</si>
  <si>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</si>
  <si>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</si>
  <si>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</si>
  <si>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</si>
  <si>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</si>
  <si>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</si>
  <si>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</si>
  <si>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</si>
  <si>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</si>
  <si>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</si>
  <si>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</si>
  <si>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</si>
  <si>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</si>
  <si>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</si>
  <si>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</si>
  <si>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</si>
  <si>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</si>
  <si>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</si>
  <si>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</si>
  <si>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</si>
  <si>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</si>
  <si>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</si>
  <si>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</si>
  <si>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</si>
  <si>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</si>
  <si>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</si>
  <si>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</si>
  <si>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</si>
  <si>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6 7</t>
  </si>
  <si>
    <t xml:space="preserve">Haverhill is with a contracted service </t>
  </si>
  <si>
    <t>02/92</t>
  </si>
  <si>
    <t>08/21/03</t>
  </si>
  <si>
    <t>7/6/2005</t>
  </si>
  <si>
    <t>3/2/2009</t>
  </si>
  <si>
    <t>11/2008</t>
  </si>
  <si>
    <t>8/2011</t>
  </si>
  <si>
    <t>08/21/2018</t>
  </si>
  <si>
    <t>7/5/2021</t>
  </si>
  <si>
    <t>3/1/2019</t>
  </si>
  <si>
    <t>11/2022</t>
  </si>
  <si>
    <t>HAVERHILL COOPERATIVE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</si>
</sst>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9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1" fontId="10" fillId="0" borderId="0" xfId="0" applyNumberFormat="1" applyFont="1" applyBorder="1" applyAlignment="1" applyProtection="1">
      <alignment horizontal="right"/>
      <protection locked="0"/>
    </xf>
    <xf numFmtId="40" fontId="37" fillId="0" borderId="5" xfId="0" applyNumberFormat="1" applyFont="1" applyBorder="1" applyProtection="1">
      <protection locked="0"/>
    </xf>
    <xf numFmtId="40" fontId="37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639" zoomScale="80" zoomScaleNormal="80" workbookViewId="0">
      <selection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921</v>
      </c>
      <c r="B2" s="21">
        <v>238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122555.34+550</f>
        <v>123105.34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327674.68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111382.23</v>
      </c>
      <c r="G12" s="18"/>
      <c r="H12" s="18"/>
      <c r="I12" s="18">
        <v>1505.99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173979.02</v>
      </c>
      <c r="G13" s="18">
        <v>7347.79</v>
      </c>
      <c r="H13" s="18">
        <v>123045.06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13138.24</v>
      </c>
      <c r="G14" s="18">
        <v>3220.85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1186.51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422791.33999999997</v>
      </c>
      <c r="G19" s="41">
        <f>SUM(G9:G18)</f>
        <v>10568.64</v>
      </c>
      <c r="H19" s="41">
        <f>SUM(H9:H18)</f>
        <v>123045.06</v>
      </c>
      <c r="I19" s="41">
        <f>SUM(I9:I18)</f>
        <v>1505.99</v>
      </c>
      <c r="J19" s="41">
        <f>SUM(J9:J18)</f>
        <v>327674.68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9963.9</v>
      </c>
      <c r="H22" s="18">
        <v>102124.32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77853.289999999994</v>
      </c>
      <c r="G24" s="18">
        <v>604.74</v>
      </c>
      <c r="H24" s="18">
        <v>1175.42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100000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20197.189999999999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1545.09+1062.9+911.76+25.25</f>
        <v>3545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400</v>
      </c>
      <c r="G30" s="18"/>
      <c r="H30" s="18">
        <v>19745.32</v>
      </c>
      <c r="I30" s="18">
        <v>1505.99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201995.47999999998</v>
      </c>
      <c r="G32" s="41">
        <f>SUM(G22:G31)</f>
        <v>10568.64</v>
      </c>
      <c r="H32" s="41">
        <f>SUM(H22:H31)</f>
        <v>123045.06</v>
      </c>
      <c r="I32" s="41">
        <f>SUM(I22:I31)</f>
        <v>1505.99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80000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31864.38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327674.68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108931.48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220795.86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327674.68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422791.33999999997</v>
      </c>
      <c r="G51" s="41">
        <f>G50+G32</f>
        <v>10568.64</v>
      </c>
      <c r="H51" s="41">
        <f>H50+H32</f>
        <v>123045.06</v>
      </c>
      <c r="I51" s="41">
        <f>I50+I32</f>
        <v>1505.99</v>
      </c>
      <c r="J51" s="41">
        <f>J50+J32</f>
        <v>327674.68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5187939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5187939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2550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22100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1405560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169454.63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1599664.63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402.05+21183.96</f>
        <v>21586.01</v>
      </c>
      <c r="G95" s="18"/>
      <c r="H95" s="18"/>
      <c r="I95" s="18"/>
      <c r="J95" s="18">
        <v>35.86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142041.21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3527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13116.55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256+49975.32+151+1500+11507.33</f>
        <v>63389.65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8964.82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25819.01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44135.67</v>
      </c>
      <c r="G109" s="18">
        <v>3381.42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117149.06</v>
      </c>
      <c r="G110" s="41">
        <f>SUM(G95:G109)</f>
        <v>145422.63</v>
      </c>
      <c r="H110" s="41">
        <f>SUM(H95:H109)</f>
        <v>63389.65</v>
      </c>
      <c r="I110" s="41">
        <f>SUM(I95:I109)</f>
        <v>0</v>
      </c>
      <c r="J110" s="41">
        <f>SUM(J95:J109)</f>
        <v>35.86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6904752.6899999995</v>
      </c>
      <c r="G111" s="41">
        <f>G59+G110</f>
        <v>145422.63</v>
      </c>
      <c r="H111" s="41">
        <f>H59+H78+H93+H110</f>
        <v>63389.65</v>
      </c>
      <c r="I111" s="41">
        <f>I59+I110</f>
        <v>0</v>
      </c>
      <c r="J111" s="41">
        <f>J59+J110</f>
        <v>35.86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3812865.4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826172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3303.6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4642341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321290.34000000003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134375.37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117826.32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6039.47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3608.39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579531.5</v>
      </c>
      <c r="G135" s="41">
        <f>SUM(G122:G134)</f>
        <v>3608.39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5221872.5</v>
      </c>
      <c r="G139" s="41">
        <f>G120+SUM(G135:G136)</f>
        <v>3608.39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520+227643.31+5335.17+11510.78+8996.77</f>
        <v>254006.03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17613.55+3140+74469.31+9412.78+59328.2+0</f>
        <v>163963.84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146753.29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189156.33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99743.24</v>
      </c>
      <c r="G160" s="18">
        <v>17885.52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288899.57</v>
      </c>
      <c r="G161" s="41">
        <f>SUM(G149:G160)</f>
        <v>164638.81</v>
      </c>
      <c r="H161" s="41">
        <f>SUM(H149:H160)</f>
        <v>417969.87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1935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290834.57</v>
      </c>
      <c r="G168" s="41">
        <f>G146+G161+SUM(G162:G167)</f>
        <v>164638.81</v>
      </c>
      <c r="H168" s="41">
        <f>H146+H161+SUM(H162:H167)</f>
        <v>417969.87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73535.149999999994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-50000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-50000</v>
      </c>
      <c r="G176" s="41" t="s">
        <v>289</v>
      </c>
      <c r="H176" s="41" t="s">
        <v>289</v>
      </c>
      <c r="I176" s="41">
        <f>SUM(I172:I175)</f>
        <v>73535.149999999994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30561.119999999999</v>
      </c>
      <c r="H178" s="18"/>
      <c r="I178" s="18"/>
      <c r="J178" s="18">
        <v>56712.89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30561.119999999999</v>
      </c>
      <c r="H182" s="41">
        <f>SUM(H178:H181)</f>
        <v>0</v>
      </c>
      <c r="I182" s="41">
        <f>SUM(I178:I181)</f>
        <v>0</v>
      </c>
      <c r="J182" s="41">
        <f>SUM(J178:J181)</f>
        <v>56712.89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83818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83818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33818</v>
      </c>
      <c r="G191" s="41">
        <f>G182+SUM(G187:G190)</f>
        <v>30561.119999999999</v>
      </c>
      <c r="H191" s="41">
        <f>+H182+SUM(H187:H190)</f>
        <v>0</v>
      </c>
      <c r="I191" s="41">
        <f>I176+I182+SUM(I187:I190)</f>
        <v>73535.149999999994</v>
      </c>
      <c r="J191" s="41">
        <f>J182</f>
        <v>56712.89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12451277.76</v>
      </c>
      <c r="G192" s="47">
        <f>G111+G139+G168+G191</f>
        <v>344230.95</v>
      </c>
      <c r="H192" s="47">
        <f>H111+H139+H168+H191</f>
        <v>481359.52</v>
      </c>
      <c r="I192" s="47">
        <f>I111+I139+I168+I191</f>
        <v>73535.149999999994</v>
      </c>
      <c r="J192" s="47">
        <f>J111+J139+J191</f>
        <v>56748.75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698481.55</v>
      </c>
      <c r="G196" s="18">
        <v>275411.33</v>
      </c>
      <c r="H196" s="18">
        <f>50475.88+646.47</f>
        <v>51122.35</v>
      </c>
      <c r="I196" s="18">
        <v>42878.62</v>
      </c>
      <c r="J196" s="18">
        <v>27504.17</v>
      </c>
      <c r="K196" s="18">
        <v>2346.96</v>
      </c>
      <c r="L196" s="19">
        <f>SUM(F196:K196)</f>
        <v>1097744.98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359359.63</v>
      </c>
      <c r="G197" s="18">
        <v>136865.23000000001</v>
      </c>
      <c r="H197" s="18">
        <f>41675.96+110457.12</f>
        <v>152133.07999999999</v>
      </c>
      <c r="I197" s="18">
        <v>6242.29</v>
      </c>
      <c r="J197" s="18">
        <v>1314.2</v>
      </c>
      <c r="K197" s="18">
        <v>82.5</v>
      </c>
      <c r="L197" s="19">
        <f>SUM(F197:K197)</f>
        <v>655996.92999999993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18100.39</v>
      </c>
      <c r="G199" s="18">
        <v>3447.75</v>
      </c>
      <c r="H199" s="18">
        <v>4833.72</v>
      </c>
      <c r="I199" s="18">
        <v>10.050000000000001</v>
      </c>
      <c r="J199" s="18"/>
      <c r="K199" s="18"/>
      <c r="L199" s="19">
        <f>SUM(F199:K199)</f>
        <v>26391.91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92786.48</v>
      </c>
      <c r="G201" s="18">
        <v>42028.9</v>
      </c>
      <c r="H201" s="18">
        <f>145948.12+1086+141.3</f>
        <v>147175.41999999998</v>
      </c>
      <c r="I201" s="18">
        <v>2015.09</v>
      </c>
      <c r="J201" s="18">
        <v>740.71</v>
      </c>
      <c r="K201" s="18">
        <v>1109.8399999999999</v>
      </c>
      <c r="L201" s="19">
        <f t="shared" ref="L201:L207" si="0">SUM(F201:K201)</f>
        <v>285856.44000000006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22224.32</v>
      </c>
      <c r="G202" s="18">
        <v>24998.57</v>
      </c>
      <c r="H202" s="18">
        <f>5240.72+237.54</f>
        <v>5478.26</v>
      </c>
      <c r="I202" s="18">
        <v>55.26</v>
      </c>
      <c r="J202" s="18"/>
      <c r="K202" s="18"/>
      <c r="L202" s="19">
        <f t="shared" si="0"/>
        <v>52756.41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2490.4899999999998</v>
      </c>
      <c r="G203" s="18">
        <v>195.13</v>
      </c>
      <c r="H203" s="18">
        <f>190235.9+9127.48</f>
        <v>199363.38</v>
      </c>
      <c r="I203" s="18">
        <v>288.61</v>
      </c>
      <c r="J203" s="18"/>
      <c r="K203" s="18">
        <v>1245.68</v>
      </c>
      <c r="L203" s="19">
        <f t="shared" si="0"/>
        <v>203583.28999999998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110153.81</v>
      </c>
      <c r="G204" s="18">
        <v>38227.980000000003</v>
      </c>
      <c r="H204" s="18">
        <v>5767.44</v>
      </c>
      <c r="I204" s="18">
        <v>823.03</v>
      </c>
      <c r="J204" s="18">
        <v>212.94</v>
      </c>
      <c r="K204" s="18">
        <v>50.5</v>
      </c>
      <c r="L204" s="19">
        <f t="shared" si="0"/>
        <v>155235.70000000001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41570.51</v>
      </c>
      <c r="G206" s="18">
        <v>15786.01</v>
      </c>
      <c r="H206" s="18">
        <f>68749.16+2785.83</f>
        <v>71534.990000000005</v>
      </c>
      <c r="I206" s="18">
        <v>75456.61</v>
      </c>
      <c r="J206" s="18"/>
      <c r="K206" s="18"/>
      <c r="L206" s="19">
        <f t="shared" si="0"/>
        <v>204348.12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7920.84</v>
      </c>
      <c r="G207" s="18">
        <v>3490.13</v>
      </c>
      <c r="H207" s="18">
        <f>614.56+154688.98</f>
        <v>155303.54</v>
      </c>
      <c r="I207" s="18">
        <v>1158.56</v>
      </c>
      <c r="J207" s="18"/>
      <c r="K207" s="18">
        <v>31.35</v>
      </c>
      <c r="L207" s="19">
        <f t="shared" si="0"/>
        <v>167904.42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23300.47+7472.97</f>
        <v>30773.440000000002</v>
      </c>
      <c r="I208" s="18">
        <v>770</v>
      </c>
      <c r="J208" s="18">
        <v>168.78</v>
      </c>
      <c r="K208" s="18"/>
      <c r="L208" s="19">
        <f>SUM(F208:K208)</f>
        <v>31712.22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1353088.0200000003</v>
      </c>
      <c r="G210" s="41">
        <f t="shared" si="1"/>
        <v>540451.03</v>
      </c>
      <c r="H210" s="41">
        <f t="shared" si="1"/>
        <v>823485.61999999988</v>
      </c>
      <c r="I210" s="41">
        <f t="shared" si="1"/>
        <v>129698.12</v>
      </c>
      <c r="J210" s="41">
        <f t="shared" si="1"/>
        <v>29940.799999999996</v>
      </c>
      <c r="K210" s="41">
        <f t="shared" si="1"/>
        <v>4866.8300000000008</v>
      </c>
      <c r="L210" s="41">
        <f t="shared" si="1"/>
        <v>2881530.4200000004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1142186.67</v>
      </c>
      <c r="G214" s="18">
        <v>422331.64</v>
      </c>
      <c r="H214" s="18">
        <f>698.1+2835.91</f>
        <v>3534.0099999999998</v>
      </c>
      <c r="I214" s="18">
        <v>50093.82</v>
      </c>
      <c r="J214" s="18">
        <v>25922.94</v>
      </c>
      <c r="K214" s="18">
        <v>2669.32</v>
      </c>
      <c r="L214" s="19">
        <f>SUM(F214:K214)</f>
        <v>1646738.4000000001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341056.23</v>
      </c>
      <c r="G215" s="18">
        <v>173911.37</v>
      </c>
      <c r="H215" s="18">
        <f>67621.13+119940.71</f>
        <v>187561.84000000003</v>
      </c>
      <c r="I215" s="18">
        <v>4716.08</v>
      </c>
      <c r="J215" s="18"/>
      <c r="K215" s="18">
        <v>90</v>
      </c>
      <c r="L215" s="19">
        <f>SUM(F215:K215)</f>
        <v>707335.5199999999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>
        <v>15000</v>
      </c>
      <c r="I216" s="18"/>
      <c r="J216" s="18"/>
      <c r="K216" s="18"/>
      <c r="L216" s="19">
        <f>SUM(F216:K216)</f>
        <v>15000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47973.63</v>
      </c>
      <c r="G217" s="18">
        <v>8071.91</v>
      </c>
      <c r="H217" s="18">
        <f>5980+2083.14+6346.55</f>
        <v>14409.689999999999</v>
      </c>
      <c r="I217" s="18">
        <v>7479.79</v>
      </c>
      <c r="J217" s="18"/>
      <c r="K217" s="18">
        <v>1880</v>
      </c>
      <c r="L217" s="19">
        <f>SUM(F217:K217)</f>
        <v>79815.01999999999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106640.05</v>
      </c>
      <c r="G219" s="18">
        <v>39883.18</v>
      </c>
      <c r="H219" s="18">
        <f>99446.74+1433+82.29</f>
        <v>100962.03</v>
      </c>
      <c r="I219" s="18">
        <v>4061.13</v>
      </c>
      <c r="J219" s="18">
        <v>830.68</v>
      </c>
      <c r="K219" s="18">
        <v>2000</v>
      </c>
      <c r="L219" s="19">
        <f t="shared" ref="L219:L225" si="2">SUM(F219:K219)</f>
        <v>254377.07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64042.5</v>
      </c>
      <c r="G220" s="18">
        <v>41906.550000000003</v>
      </c>
      <c r="H220" s="18">
        <f>15186.13+982.42</f>
        <v>16168.55</v>
      </c>
      <c r="I220" s="18"/>
      <c r="J220" s="18"/>
      <c r="K220" s="18"/>
      <c r="L220" s="19">
        <f t="shared" si="2"/>
        <v>122117.6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2718.1</v>
      </c>
      <c r="G221" s="18">
        <v>213.35</v>
      </c>
      <c r="H221" s="18">
        <f>204058.88+9957.28</f>
        <v>214016.16</v>
      </c>
      <c r="I221" s="18">
        <v>382.61</v>
      </c>
      <c r="J221" s="18"/>
      <c r="K221" s="18">
        <v>1358.91</v>
      </c>
      <c r="L221" s="19">
        <f t="shared" si="2"/>
        <v>218689.13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192660.99</v>
      </c>
      <c r="G222" s="18">
        <v>68116.850000000006</v>
      </c>
      <c r="H222" s="18">
        <v>9307.64</v>
      </c>
      <c r="I222" s="18">
        <v>3555.11</v>
      </c>
      <c r="J222" s="18">
        <v>1315.25</v>
      </c>
      <c r="K222" s="18">
        <v>932.75</v>
      </c>
      <c r="L222" s="19">
        <f t="shared" si="2"/>
        <v>275888.58999999997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81361.38</v>
      </c>
      <c r="G224" s="18">
        <v>29237.4</v>
      </c>
      <c r="H224" s="18">
        <f>70037.92+2968.29</f>
        <v>73006.209999999992</v>
      </c>
      <c r="I224" s="18">
        <v>107384.6</v>
      </c>
      <c r="J224" s="18">
        <v>5556.86</v>
      </c>
      <c r="K224" s="18"/>
      <c r="L224" s="19">
        <f t="shared" si="2"/>
        <v>296546.44999999995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8641.09</v>
      </c>
      <c r="G225" s="18">
        <v>3807.85</v>
      </c>
      <c r="H225" s="18">
        <f>670.43+139817.07</f>
        <v>140487.5</v>
      </c>
      <c r="I225" s="18">
        <v>1263.9000000000001</v>
      </c>
      <c r="J225" s="18"/>
      <c r="K225" s="18">
        <v>34.200000000000003</v>
      </c>
      <c r="L225" s="19">
        <f t="shared" si="2"/>
        <v>154234.54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f>25418.69+8592.99</f>
        <v>34011.68</v>
      </c>
      <c r="I226" s="18">
        <v>1081.31</v>
      </c>
      <c r="J226" s="18">
        <v>152.49</v>
      </c>
      <c r="K226" s="18"/>
      <c r="L226" s="19">
        <f>SUM(F226:K226)</f>
        <v>35245.479999999996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1987280.64</v>
      </c>
      <c r="G228" s="41">
        <f>SUM(G214:G227)</f>
        <v>787480.10000000009</v>
      </c>
      <c r="H228" s="41">
        <f>SUM(H214:H227)</f>
        <v>808465.31</v>
      </c>
      <c r="I228" s="41">
        <f>SUM(I214:I227)</f>
        <v>180018.35</v>
      </c>
      <c r="J228" s="41">
        <f>SUM(J214:J227)</f>
        <v>33778.219999999994</v>
      </c>
      <c r="K228" s="41">
        <f t="shared" si="3"/>
        <v>8965.18</v>
      </c>
      <c r="L228" s="41">
        <f t="shared" si="3"/>
        <v>3805987.7999999993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1165139.8799999999</v>
      </c>
      <c r="G232" s="18">
        <v>437233.65</v>
      </c>
      <c r="H232" s="18">
        <f>65+434.26+2124.47</f>
        <v>2623.7299999999996</v>
      </c>
      <c r="I232" s="18">
        <v>58893.37</v>
      </c>
      <c r="J232" s="18">
        <v>23546.66</v>
      </c>
      <c r="K232" s="18">
        <v>5364.72</v>
      </c>
      <c r="L232" s="19">
        <f>SUM(F232:K232)</f>
        <v>1692802.0099999998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382229.69</v>
      </c>
      <c r="G233" s="18">
        <v>213847.32</v>
      </c>
      <c r="H233" s="18">
        <f>163839.24+363430.13</f>
        <v>527269.37</v>
      </c>
      <c r="I233" s="18">
        <v>4107.54</v>
      </c>
      <c r="J233" s="18">
        <v>1497.79</v>
      </c>
      <c r="K233" s="18">
        <v>947.5</v>
      </c>
      <c r="L233" s="19">
        <f>SUM(F233:K233)</f>
        <v>1129899.21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14000+274987.5</f>
        <v>288987.5</v>
      </c>
      <c r="I234" s="18"/>
      <c r="J234" s="18"/>
      <c r="K234" s="18"/>
      <c r="L234" s="19">
        <f>SUM(F234:K234)</f>
        <v>288987.5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68547.28</v>
      </c>
      <c r="G235" s="18">
        <v>10186.91</v>
      </c>
      <c r="H235" s="18">
        <f>20805.13+24079.79</f>
        <v>44884.92</v>
      </c>
      <c r="I235" s="18">
        <v>7428.71</v>
      </c>
      <c r="J235" s="18"/>
      <c r="K235" s="18">
        <v>7013.78</v>
      </c>
      <c r="L235" s="19">
        <f>SUM(F235:K235)</f>
        <v>138061.6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199447.62</v>
      </c>
      <c r="G237" s="18">
        <v>86273.69</v>
      </c>
      <c r="H237" s="18">
        <f>75151.66+1464+736.33</f>
        <v>77351.990000000005</v>
      </c>
      <c r="I237" s="18">
        <v>7108.11</v>
      </c>
      <c r="J237" s="18">
        <v>168.99</v>
      </c>
      <c r="K237" s="18">
        <v>1907.67</v>
      </c>
      <c r="L237" s="19">
        <f t="shared" ref="L237:L243" si="4">SUM(F237:K237)</f>
        <v>372258.06999999995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67210.67</v>
      </c>
      <c r="G238" s="18">
        <v>28903.68</v>
      </c>
      <c r="H238" s="18">
        <v>9715.59</v>
      </c>
      <c r="I238" s="18">
        <v>171.44</v>
      </c>
      <c r="J238" s="18"/>
      <c r="K238" s="18"/>
      <c r="L238" s="19">
        <f t="shared" si="4"/>
        <v>106001.38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2341.41</v>
      </c>
      <c r="G239" s="18">
        <v>183.57</v>
      </c>
      <c r="H239" s="18">
        <f>175030.75+8877.32</f>
        <v>183908.07</v>
      </c>
      <c r="I239" s="18">
        <v>688.97</v>
      </c>
      <c r="J239" s="18"/>
      <c r="K239" s="18">
        <v>1170.18</v>
      </c>
      <c r="L239" s="19">
        <f t="shared" si="4"/>
        <v>188292.2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212816.45</v>
      </c>
      <c r="G240" s="18">
        <v>92819.28</v>
      </c>
      <c r="H240" s="18">
        <f>1309.2+1246+15594.52</f>
        <v>18149.72</v>
      </c>
      <c r="I240" s="18">
        <v>8482.7099999999991</v>
      </c>
      <c r="J240" s="18">
        <v>349.98</v>
      </c>
      <c r="K240" s="18">
        <v>2005.29</v>
      </c>
      <c r="L240" s="19">
        <f t="shared" si="4"/>
        <v>334623.42999999993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>
        <v>1462.5</v>
      </c>
      <c r="L241" s="19">
        <f t="shared" si="4"/>
        <v>1462.5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89083.47</v>
      </c>
      <c r="G242" s="18">
        <v>29532.68</v>
      </c>
      <c r="H242" s="18">
        <f>9606.78+110411.44+2737.98</f>
        <v>122756.2</v>
      </c>
      <c r="I242" s="18">
        <v>130480.6</v>
      </c>
      <c r="J242" s="18">
        <v>41253.22</v>
      </c>
      <c r="K242" s="18"/>
      <c r="L242" s="19">
        <f t="shared" si="4"/>
        <v>413106.16999999993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7672.56</v>
      </c>
      <c r="G243" s="18">
        <v>3382.19</v>
      </c>
      <c r="H243" s="18">
        <f>577.33+163855.2</f>
        <v>164432.53</v>
      </c>
      <c r="I243" s="18">
        <v>1088.3399999999999</v>
      </c>
      <c r="J243" s="18"/>
      <c r="K243" s="18">
        <v>29.45</v>
      </c>
      <c r="L243" s="19">
        <f t="shared" si="4"/>
        <v>176605.07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f>21888.32+28881.95</f>
        <v>50770.270000000004</v>
      </c>
      <c r="I244" s="18">
        <v>1009.46</v>
      </c>
      <c r="J244" s="18">
        <v>277.70999999999998</v>
      </c>
      <c r="K244" s="18"/>
      <c r="L244" s="19">
        <f>SUM(F244:K244)</f>
        <v>52057.440000000002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2194489.0299999998</v>
      </c>
      <c r="G246" s="41">
        <f t="shared" si="5"/>
        <v>902362.97000000009</v>
      </c>
      <c r="H246" s="41">
        <f t="shared" si="5"/>
        <v>1490849.89</v>
      </c>
      <c r="I246" s="41">
        <f t="shared" si="5"/>
        <v>219459.25</v>
      </c>
      <c r="J246" s="41">
        <f t="shared" si="5"/>
        <v>67094.350000000006</v>
      </c>
      <c r="K246" s="41">
        <f t="shared" si="5"/>
        <v>19901.09</v>
      </c>
      <c r="L246" s="41">
        <f t="shared" si="5"/>
        <v>4894156.58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40800</v>
      </c>
      <c r="G252" s="18">
        <v>8677.4500000000007</v>
      </c>
      <c r="H252" s="18">
        <v>1937.22</v>
      </c>
      <c r="I252" s="18">
        <v>1268.49</v>
      </c>
      <c r="J252" s="18"/>
      <c r="K252" s="18"/>
      <c r="L252" s="19">
        <f t="shared" si="6"/>
        <v>52683.159999999996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40800</v>
      </c>
      <c r="G255" s="41">
        <f t="shared" si="7"/>
        <v>8677.4500000000007</v>
      </c>
      <c r="H255" s="41">
        <f t="shared" si="7"/>
        <v>1937.22</v>
      </c>
      <c r="I255" s="41">
        <f t="shared" si="7"/>
        <v>1268.49</v>
      </c>
      <c r="J255" s="41">
        <f t="shared" si="7"/>
        <v>0</v>
      </c>
      <c r="K255" s="41">
        <f t="shared" si="7"/>
        <v>0</v>
      </c>
      <c r="L255" s="41">
        <f>SUM(F255:K255)</f>
        <v>52683.159999999996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5575657.6899999995</v>
      </c>
      <c r="G256" s="41">
        <f t="shared" si="8"/>
        <v>2238971.5500000003</v>
      </c>
      <c r="H256" s="41">
        <f t="shared" si="8"/>
        <v>3124738.04</v>
      </c>
      <c r="I256" s="41">
        <f t="shared" si="8"/>
        <v>530444.21</v>
      </c>
      <c r="J256" s="41">
        <f t="shared" si="8"/>
        <v>130813.37</v>
      </c>
      <c r="K256" s="41">
        <f t="shared" si="8"/>
        <v>33733.100000000006</v>
      </c>
      <c r="L256" s="41">
        <f t="shared" si="8"/>
        <v>11634357.960000001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528766.66</v>
      </c>
      <c r="L259" s="19">
        <f>SUM(F259:K259)</f>
        <v>528766.66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29577.360000000001</v>
      </c>
      <c r="L260" s="19">
        <f>SUM(F260:K260)</f>
        <v>29577.360000000001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30561.119999999999</v>
      </c>
      <c r="L262" s="19">
        <f>SUM(F262:K262)</f>
        <v>30561.119999999999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56712.89</v>
      </c>
      <c r="L265" s="19">
        <f t="shared" si="9"/>
        <v>56712.89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10900</v>
      </c>
      <c r="L267" s="19">
        <f t="shared" si="9"/>
        <v>10900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656518.03</v>
      </c>
      <c r="L269" s="41">
        <f t="shared" si="9"/>
        <v>656518.03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5575657.6899999995</v>
      </c>
      <c r="G270" s="42">
        <f t="shared" si="11"/>
        <v>2238971.5500000003</v>
      </c>
      <c r="H270" s="42">
        <f t="shared" si="11"/>
        <v>3124738.04</v>
      </c>
      <c r="I270" s="42">
        <f t="shared" si="11"/>
        <v>530444.21</v>
      </c>
      <c r="J270" s="42">
        <f t="shared" si="11"/>
        <v>130813.37</v>
      </c>
      <c r="K270" s="42">
        <f t="shared" si="11"/>
        <v>690251.13</v>
      </c>
      <c r="L270" s="42">
        <f t="shared" si="11"/>
        <v>12290875.99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40411.410000000003</v>
      </c>
      <c r="G275" s="18">
        <v>13965.31</v>
      </c>
      <c r="H275" s="18"/>
      <c r="I275" s="18"/>
      <c r="J275" s="18"/>
      <c r="K275" s="18"/>
      <c r="L275" s="19">
        <f>SUM(F275:K275)</f>
        <v>54376.72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165838.87</v>
      </c>
      <c r="G276" s="18">
        <v>60047.19</v>
      </c>
      <c r="H276" s="18"/>
      <c r="I276" s="18">
        <v>9269.7900000000009</v>
      </c>
      <c r="J276" s="18"/>
      <c r="K276" s="18">
        <v>100</v>
      </c>
      <c r="L276" s="19">
        <f>SUM(F276:K276)</f>
        <v>235255.85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8518.4</v>
      </c>
      <c r="G278" s="18">
        <v>1453.92</v>
      </c>
      <c r="H278" s="18"/>
      <c r="I278" s="18">
        <v>1067.9000000000001</v>
      </c>
      <c r="J278" s="18"/>
      <c r="K278" s="18"/>
      <c r="L278" s="19">
        <f>SUM(F278:K278)</f>
        <v>11040.22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151</v>
      </c>
      <c r="J280" s="18"/>
      <c r="K280" s="18"/>
      <c r="L280" s="19">
        <f t="shared" ref="L280:L286" si="12">SUM(F280:K280)</f>
        <v>151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403.92</v>
      </c>
      <c r="I281" s="18"/>
      <c r="J281" s="18">
        <v>479</v>
      </c>
      <c r="K281" s="18"/>
      <c r="L281" s="19">
        <f t="shared" si="12"/>
        <v>882.92000000000007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2074.67</v>
      </c>
      <c r="L282" s="19">
        <f t="shared" si="12"/>
        <v>2074.67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2775</v>
      </c>
      <c r="I286" s="18"/>
      <c r="J286" s="18"/>
      <c r="K286" s="18"/>
      <c r="L286" s="19">
        <f t="shared" si="12"/>
        <v>2775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214768.68</v>
      </c>
      <c r="G289" s="42">
        <f t="shared" si="13"/>
        <v>75466.42</v>
      </c>
      <c r="H289" s="42">
        <f t="shared" si="13"/>
        <v>3178.92</v>
      </c>
      <c r="I289" s="42">
        <f t="shared" si="13"/>
        <v>10488.69</v>
      </c>
      <c r="J289" s="42">
        <f t="shared" si="13"/>
        <v>479</v>
      </c>
      <c r="K289" s="42">
        <f t="shared" si="13"/>
        <v>2174.67</v>
      </c>
      <c r="L289" s="41">
        <f t="shared" si="13"/>
        <v>306556.37999999995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>
        <v>4194.88</v>
      </c>
      <c r="J294" s="18"/>
      <c r="K294" s="18"/>
      <c r="L294" s="19">
        <f>SUM(F294:K294)</f>
        <v>4194.88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16858</v>
      </c>
      <c r="G295" s="18">
        <v>14487.15</v>
      </c>
      <c r="H295" s="18"/>
      <c r="I295" s="18"/>
      <c r="J295" s="18"/>
      <c r="K295" s="18"/>
      <c r="L295" s="19">
        <f>SUM(F295:K295)</f>
        <v>31345.15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65860.100000000006</v>
      </c>
      <c r="G297" s="18">
        <v>17956.919999999998</v>
      </c>
      <c r="H297" s="18">
        <v>19494.59</v>
      </c>
      <c r="I297" s="18">
        <v>620.13</v>
      </c>
      <c r="J297" s="18">
        <v>978</v>
      </c>
      <c r="K297" s="18"/>
      <c r="L297" s="19">
        <f>SUM(F297:K297)</f>
        <v>104909.74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>
        <v>256</v>
      </c>
      <c r="L299" s="19">
        <f t="shared" ref="L299:L305" si="14">SUM(F299:K299)</f>
        <v>256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4500</v>
      </c>
      <c r="G300" s="18">
        <v>846.77</v>
      </c>
      <c r="H300" s="18">
        <f>790.64+17</f>
        <v>807.64</v>
      </c>
      <c r="I300" s="18">
        <v>1600</v>
      </c>
      <c r="J300" s="18">
        <v>958</v>
      </c>
      <c r="K300" s="18"/>
      <c r="L300" s="19">
        <f t="shared" si="14"/>
        <v>8712.41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v>2893.64</v>
      </c>
      <c r="L301" s="19">
        <f t="shared" si="14"/>
        <v>2893.64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3731.35</v>
      </c>
      <c r="I305" s="18"/>
      <c r="J305" s="18"/>
      <c r="K305" s="18"/>
      <c r="L305" s="19">
        <f t="shared" si="14"/>
        <v>3731.35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87218.1</v>
      </c>
      <c r="G308" s="42">
        <f t="shared" si="15"/>
        <v>33290.839999999997</v>
      </c>
      <c r="H308" s="42">
        <f t="shared" si="15"/>
        <v>24033.579999999998</v>
      </c>
      <c r="I308" s="42">
        <f t="shared" si="15"/>
        <v>6415.01</v>
      </c>
      <c r="J308" s="42">
        <f t="shared" si="15"/>
        <v>1936</v>
      </c>
      <c r="K308" s="42">
        <f t="shared" si="15"/>
        <v>3149.64</v>
      </c>
      <c r="L308" s="41">
        <f t="shared" si="15"/>
        <v>156043.17000000004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>
        <f>2280+95</f>
        <v>2375</v>
      </c>
      <c r="I313" s="18">
        <v>3301.98</v>
      </c>
      <c r="J313" s="18"/>
      <c r="K313" s="18"/>
      <c r="L313" s="19">
        <f>SUM(F313:K313)</f>
        <v>5676.98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4902</v>
      </c>
      <c r="G316" s="18">
        <v>889.52</v>
      </c>
      <c r="H316" s="18"/>
      <c r="I316" s="18">
        <v>602.67999999999995</v>
      </c>
      <c r="J316" s="18"/>
      <c r="K316" s="18"/>
      <c r="L316" s="19">
        <f>SUM(F316:K316)</f>
        <v>6394.2000000000007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>
        <v>2857</v>
      </c>
      <c r="L318" s="19">
        <f t="shared" ref="L318:L324" si="16">SUM(F318:K318)</f>
        <v>2857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379.44</v>
      </c>
      <c r="I319" s="18"/>
      <c r="J319" s="18">
        <v>479</v>
      </c>
      <c r="K319" s="18"/>
      <c r="L319" s="19">
        <f t="shared" si="16"/>
        <v>858.44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2973.35</v>
      </c>
      <c r="I324" s="18"/>
      <c r="J324" s="18"/>
      <c r="K324" s="18"/>
      <c r="L324" s="19">
        <f t="shared" si="16"/>
        <v>2973.35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4902</v>
      </c>
      <c r="G327" s="42">
        <f t="shared" si="17"/>
        <v>889.52</v>
      </c>
      <c r="H327" s="42">
        <f t="shared" si="17"/>
        <v>5727.79</v>
      </c>
      <c r="I327" s="42">
        <f t="shared" si="17"/>
        <v>3904.66</v>
      </c>
      <c r="J327" s="42">
        <f t="shared" si="17"/>
        <v>479</v>
      </c>
      <c r="K327" s="42">
        <f t="shared" si="17"/>
        <v>2857</v>
      </c>
      <c r="L327" s="41">
        <f t="shared" si="17"/>
        <v>18759.97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306888.78000000003</v>
      </c>
      <c r="G337" s="41">
        <f t="shared" si="20"/>
        <v>109646.78</v>
      </c>
      <c r="H337" s="41">
        <f t="shared" si="20"/>
        <v>32940.29</v>
      </c>
      <c r="I337" s="41">
        <f t="shared" si="20"/>
        <v>20808.36</v>
      </c>
      <c r="J337" s="41">
        <f t="shared" si="20"/>
        <v>2894</v>
      </c>
      <c r="K337" s="41">
        <f t="shared" si="20"/>
        <v>8181.3099999999995</v>
      </c>
      <c r="L337" s="41">
        <f t="shared" si="20"/>
        <v>481359.52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306888.78000000003</v>
      </c>
      <c r="G351" s="41">
        <f>G337</f>
        <v>109646.78</v>
      </c>
      <c r="H351" s="41">
        <f>H337</f>
        <v>32940.29</v>
      </c>
      <c r="I351" s="41">
        <f>I337</f>
        <v>20808.36</v>
      </c>
      <c r="J351" s="41">
        <f>J337</f>
        <v>2894</v>
      </c>
      <c r="K351" s="47">
        <f>K337+K350</f>
        <v>8181.3099999999995</v>
      </c>
      <c r="L351" s="41">
        <f>L337+L350</f>
        <v>481359.52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93653.75+9985.62+1610.37</f>
        <v>105249.73999999999</v>
      </c>
      <c r="I357" s="18"/>
      <c r="J357" s="18"/>
      <c r="K357" s="18"/>
      <c r="L357" s="13">
        <f>SUM(F357:K357)</f>
        <v>105249.73999999999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18449.240000000002</v>
      </c>
      <c r="G358" s="18">
        <v>9668.4</v>
      </c>
      <c r="H358" s="18">
        <f>102090.38+7899.9+1871.65</f>
        <v>111861.93</v>
      </c>
      <c r="I358" s="18"/>
      <c r="J358" s="18"/>
      <c r="K358" s="18"/>
      <c r="L358" s="19">
        <f>SUM(F358:K358)</f>
        <v>139979.57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7626.27</v>
      </c>
      <c r="G359" s="18">
        <v>640.42999999999995</v>
      </c>
      <c r="H359" s="18">
        <f>87911.09+1613.85</f>
        <v>89524.94</v>
      </c>
      <c r="I359" s="18"/>
      <c r="J359" s="18">
        <v>1210</v>
      </c>
      <c r="K359" s="18"/>
      <c r="L359" s="19">
        <f>SUM(F359:K359)</f>
        <v>99001.64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26075.510000000002</v>
      </c>
      <c r="G361" s="47">
        <f t="shared" si="22"/>
        <v>10308.83</v>
      </c>
      <c r="H361" s="47">
        <f t="shared" si="22"/>
        <v>306636.61</v>
      </c>
      <c r="I361" s="47">
        <f t="shared" si="22"/>
        <v>0</v>
      </c>
      <c r="J361" s="47">
        <f t="shared" si="22"/>
        <v>1210</v>
      </c>
      <c r="K361" s="47">
        <f t="shared" si="22"/>
        <v>0</v>
      </c>
      <c r="L361" s="47">
        <f t="shared" si="22"/>
        <v>344230.95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73535.149999999994</v>
      </c>
      <c r="I374" s="18"/>
      <c r="J374" s="18"/>
      <c r="K374" s="18"/>
      <c r="L374" s="13">
        <f t="shared" ref="L374:L380" si="23">SUM(F374:K374)</f>
        <v>73535.149999999994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73535.149999999994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73535.149999999994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2.82</v>
      </c>
      <c r="I387" s="18"/>
      <c r="J387" s="24" t="s">
        <v>289</v>
      </c>
      <c r="K387" s="24" t="s">
        <v>289</v>
      </c>
      <c r="L387" s="56">
        <f t="shared" si="25"/>
        <v>2.82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2.82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2.82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6712.89</v>
      </c>
      <c r="H395" s="18">
        <v>7.3</v>
      </c>
      <c r="I395" s="18"/>
      <c r="J395" s="24" t="s">
        <v>289</v>
      </c>
      <c r="K395" s="24" t="s">
        <v>289</v>
      </c>
      <c r="L395" s="56">
        <f t="shared" si="26"/>
        <v>6720.1900000000005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18.190000000000001</v>
      </c>
      <c r="I396" s="18"/>
      <c r="J396" s="24" t="s">
        <v>289</v>
      </c>
      <c r="K396" s="24" t="s">
        <v>289</v>
      </c>
      <c r="L396" s="56">
        <f t="shared" si="26"/>
        <v>50018.19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7.55</v>
      </c>
      <c r="I399" s="18"/>
      <c r="J399" s="24" t="s">
        <v>289</v>
      </c>
      <c r="K399" s="24" t="s">
        <v>289</v>
      </c>
      <c r="L399" s="56">
        <f t="shared" si="26"/>
        <v>7.55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56712.89</v>
      </c>
      <c r="H400" s="47">
        <f>SUM(H394:H399)</f>
        <v>33.04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56745.930000000008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56712.89</v>
      </c>
      <c r="H407" s="47">
        <f>H392+H400+H406</f>
        <v>35.86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56748.750000000007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18518</v>
      </c>
      <c r="L421" s="56">
        <f t="shared" si="29"/>
        <v>18518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50000</v>
      </c>
      <c r="L422" s="56">
        <f t="shared" si="29"/>
        <v>50000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15300</v>
      </c>
      <c r="L425" s="56">
        <f t="shared" si="29"/>
        <v>15300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83818</v>
      </c>
      <c r="L426" s="47">
        <f t="shared" si="30"/>
        <v>83818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83818</v>
      </c>
      <c r="L433" s="47">
        <f t="shared" si="32"/>
        <v>83818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26739.45</v>
      </c>
      <c r="G439" s="18">
        <v>300935.23</v>
      </c>
      <c r="H439" s="18"/>
      <c r="I439" s="56">
        <f t="shared" si="33"/>
        <v>327674.68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26739.45</v>
      </c>
      <c r="G445" s="13">
        <f>SUM(G438:G444)</f>
        <v>300935.23</v>
      </c>
      <c r="H445" s="13">
        <f>SUM(H438:H444)</f>
        <v>0</v>
      </c>
      <c r="I445" s="13">
        <f>SUM(I438:I444)</f>
        <v>327674.68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26739.45</v>
      </c>
      <c r="G458" s="18">
        <v>300935.23</v>
      </c>
      <c r="H458" s="18"/>
      <c r="I458" s="56">
        <f t="shared" si="34"/>
        <v>327674.68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26739.45</v>
      </c>
      <c r="G459" s="83">
        <f>SUM(G453:G458)</f>
        <v>300935.23</v>
      </c>
      <c r="H459" s="83">
        <f>SUM(H453:H458)</f>
        <v>0</v>
      </c>
      <c r="I459" s="83">
        <f>SUM(I453:I458)</f>
        <v>327674.68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26739.45</v>
      </c>
      <c r="G460" s="42">
        <f>G451+G459</f>
        <v>300935.23</v>
      </c>
      <c r="H460" s="42">
        <f>H451+H459</f>
        <v>0</v>
      </c>
      <c r="I460" s="42">
        <f>I451+I459</f>
        <v>327674.68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60394.090000003576</v>
      </c>
      <c r="G464" s="18">
        <v>0</v>
      </c>
      <c r="H464" s="18">
        <v>0</v>
      </c>
      <c r="I464" s="18">
        <v>0</v>
      </c>
      <c r="J464" s="18">
        <v>354743.93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12451277.76</v>
      </c>
      <c r="G467" s="18">
        <v>344230.95</v>
      </c>
      <c r="H467" s="18">
        <f>469852.19+11507.33</f>
        <v>481359.52</v>
      </c>
      <c r="I467" s="18">
        <v>73535.149999999994</v>
      </c>
      <c r="J467" s="18">
        <f>56712.89+35.86</f>
        <v>56748.75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12451277.76</v>
      </c>
      <c r="G469" s="53">
        <f>SUM(G467:G468)</f>
        <v>344230.95</v>
      </c>
      <c r="H469" s="53">
        <f>SUM(H467:H468)</f>
        <v>481359.52</v>
      </c>
      <c r="I469" s="53">
        <f>SUM(I467:I468)</f>
        <v>73535.149999999994</v>
      </c>
      <c r="J469" s="53">
        <f>SUM(J467:J468)</f>
        <v>56748.75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12287508.2+3367.79</f>
        <v>12290875.989999998</v>
      </c>
      <c r="G471" s="18">
        <v>344230.95</v>
      </c>
      <c r="H471" s="18">
        <f>469852.19+11507.33</f>
        <v>481359.52</v>
      </c>
      <c r="I471" s="18">
        <v>73535.149999999994</v>
      </c>
      <c r="J471" s="18">
        <v>83818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12290875.989999998</v>
      </c>
      <c r="G473" s="53">
        <f>SUM(G471:G472)</f>
        <v>344230.95</v>
      </c>
      <c r="H473" s="53">
        <f>SUM(H471:H472)</f>
        <v>481359.52</v>
      </c>
      <c r="I473" s="53">
        <f>SUM(I471:I472)</f>
        <v>73535.149999999994</v>
      </c>
      <c r="J473" s="53">
        <f>SUM(J471:J472)</f>
        <v>83818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220795.86000000499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327674.68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15</v>
      </c>
      <c r="H489" s="154">
        <v>15</v>
      </c>
      <c r="I489" s="154">
        <v>10</v>
      </c>
      <c r="J489" s="154">
        <v>14</v>
      </c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 t="s">
        <v>912</v>
      </c>
      <c r="H490" s="155" t="s">
        <v>913</v>
      </c>
      <c r="I490" s="155" t="s">
        <v>914</v>
      </c>
      <c r="J490" s="155" t="s">
        <v>915</v>
      </c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916</v>
      </c>
      <c r="G491" s="155" t="s">
        <v>917</v>
      </c>
      <c r="H491" s="155" t="s">
        <v>918</v>
      </c>
      <c r="I491" s="155" t="s">
        <v>919</v>
      </c>
      <c r="J491" s="155" t="s">
        <v>920</v>
      </c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2475000</v>
      </c>
      <c r="G492" s="18">
        <v>500000</v>
      </c>
      <c r="H492" s="18">
        <v>1694000</v>
      </c>
      <c r="I492" s="18">
        <v>605000</v>
      </c>
      <c r="J492" s="18">
        <v>1498000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6.86</v>
      </c>
      <c r="G493" s="18">
        <v>0</v>
      </c>
      <c r="H493" s="18">
        <v>0</v>
      </c>
      <c r="I493" s="18">
        <v>4.5</v>
      </c>
      <c r="J493" s="18">
        <v>0</v>
      </c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215000</v>
      </c>
      <c r="G494" s="18">
        <v>266666.64</v>
      </c>
      <c r="H494" s="18">
        <v>1129333.3</v>
      </c>
      <c r="I494" s="18">
        <v>423500</v>
      </c>
      <c r="J494" s="18">
        <v>1284000</v>
      </c>
      <c r="K494" s="53">
        <f>SUM(F494:J494)</f>
        <v>3318499.94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215000</v>
      </c>
      <c r="G496" s="18">
        <v>33333.33</v>
      </c>
      <c r="H496" s="18">
        <v>112933.33</v>
      </c>
      <c r="I496" s="18">
        <v>60500</v>
      </c>
      <c r="J496" s="18">
        <v>107000</v>
      </c>
      <c r="K496" s="53">
        <f t="shared" si="35"/>
        <v>528766.66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0</v>
      </c>
      <c r="G497" s="205">
        <v>233333.31</v>
      </c>
      <c r="H497" s="205">
        <v>1016399.9700000001</v>
      </c>
      <c r="I497" s="205">
        <v>363000</v>
      </c>
      <c r="J497" s="205">
        <v>1177000</v>
      </c>
      <c r="K497" s="206">
        <f t="shared" si="35"/>
        <v>2789733.2800000003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>
        <v>0</v>
      </c>
      <c r="I498" s="18">
        <v>98099.51</v>
      </c>
      <c r="J498" s="18"/>
      <c r="K498" s="53">
        <f t="shared" si="35"/>
        <v>98099.51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233333.31</v>
      </c>
      <c r="H499" s="42">
        <f>SUM(H497:H498)</f>
        <v>1016399.9700000001</v>
      </c>
      <c r="I499" s="42">
        <f>SUM(I497:I498)</f>
        <v>461099.51</v>
      </c>
      <c r="J499" s="42">
        <f>SUM(J497:J498)</f>
        <v>1177000</v>
      </c>
      <c r="K499" s="42">
        <f t="shared" si="35"/>
        <v>2887832.79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72">
        <v>0</v>
      </c>
      <c r="G500" s="272">
        <v>33333.33</v>
      </c>
      <c r="H500" s="272">
        <v>112933.33</v>
      </c>
      <c r="I500" s="272">
        <v>60500</v>
      </c>
      <c r="J500" s="272">
        <v>107000</v>
      </c>
      <c r="K500" s="206">
        <f t="shared" si="35"/>
        <v>313766.66000000003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273">
        <v>0</v>
      </c>
      <c r="G501" s="273">
        <v>0</v>
      </c>
      <c r="H501" s="273">
        <v>0</v>
      </c>
      <c r="I501" s="273">
        <v>19057.5</v>
      </c>
      <c r="J501" s="273"/>
      <c r="K501" s="53">
        <f t="shared" si="35"/>
        <v>19057.5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33333.33</v>
      </c>
      <c r="H502" s="42">
        <f>SUM(H500:H501)</f>
        <v>112933.33</v>
      </c>
      <c r="I502" s="42">
        <f>SUM(I500:I501)</f>
        <v>79557.5</v>
      </c>
      <c r="J502" s="42">
        <f>SUM(J500:J501)</f>
        <v>107000</v>
      </c>
      <c r="K502" s="42">
        <f t="shared" si="35"/>
        <v>332824.16000000003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273487</v>
      </c>
      <c r="G520" s="18">
        <v>105863.19</v>
      </c>
      <c r="H520" s="18">
        <f>41675.96+110457.12</f>
        <v>152133.07999999999</v>
      </c>
      <c r="I520" s="18">
        <v>5082.2700000000004</v>
      </c>
      <c r="J520" s="18">
        <v>1314.2</v>
      </c>
      <c r="K520" s="18">
        <v>82.5</v>
      </c>
      <c r="L520" s="88">
        <f>SUM(F520:K520)</f>
        <v>537962.23999999999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328554.62</v>
      </c>
      <c r="G521" s="18">
        <v>169675.9</v>
      </c>
      <c r="H521" s="18">
        <f>67621.13+119940.71</f>
        <v>187561.84000000003</v>
      </c>
      <c r="I521" s="18">
        <v>4592.54</v>
      </c>
      <c r="J521" s="18"/>
      <c r="K521" s="18">
        <v>90</v>
      </c>
      <c r="L521" s="88">
        <f>SUM(F521:K521)</f>
        <v>690474.90000000014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381752.49</v>
      </c>
      <c r="G522" s="18">
        <v>213692.78</v>
      </c>
      <c r="H522" s="18">
        <f>163839.24+363430.13</f>
        <v>527269.37</v>
      </c>
      <c r="I522" s="18">
        <v>4100.4399999999996</v>
      </c>
      <c r="J522" s="18">
        <v>1497.79</v>
      </c>
      <c r="K522" s="18">
        <v>947.5</v>
      </c>
      <c r="L522" s="88">
        <f>SUM(F522:K522)</f>
        <v>1129260.3700000001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983794.11</v>
      </c>
      <c r="G523" s="108">
        <f t="shared" ref="G523:L523" si="36">SUM(G520:G522)</f>
        <v>489231.87</v>
      </c>
      <c r="H523" s="108">
        <f t="shared" si="36"/>
        <v>866964.29</v>
      </c>
      <c r="I523" s="108">
        <f t="shared" si="36"/>
        <v>13775.25</v>
      </c>
      <c r="J523" s="108">
        <f t="shared" si="36"/>
        <v>2811.99</v>
      </c>
      <c r="K523" s="108">
        <f t="shared" si="36"/>
        <v>1120</v>
      </c>
      <c r="L523" s="89">
        <f t="shared" si="36"/>
        <v>2357697.5100000002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145948.12</v>
      </c>
      <c r="I525" s="18">
        <v>395.15</v>
      </c>
      <c r="J525" s="18"/>
      <c r="K525" s="18"/>
      <c r="L525" s="88">
        <f>SUM(F525:K525)</f>
        <v>146343.26999999999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99446.74</v>
      </c>
      <c r="I526" s="18">
        <v>297.7</v>
      </c>
      <c r="J526" s="18"/>
      <c r="K526" s="18"/>
      <c r="L526" s="88">
        <f>SUM(F526:K526)</f>
        <v>99744.44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74217.2</v>
      </c>
      <c r="I527" s="18"/>
      <c r="J527" s="18"/>
      <c r="K527" s="18"/>
      <c r="L527" s="88">
        <f>SUM(F527:K527)</f>
        <v>74217.2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319612.06</v>
      </c>
      <c r="I528" s="89">
        <f t="shared" si="37"/>
        <v>692.84999999999991</v>
      </c>
      <c r="J528" s="89">
        <f t="shared" si="37"/>
        <v>0</v>
      </c>
      <c r="K528" s="89">
        <f t="shared" si="37"/>
        <v>0</v>
      </c>
      <c r="L528" s="89">
        <f t="shared" si="37"/>
        <v>320304.90999999997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33759</v>
      </c>
      <c r="I530" s="18"/>
      <c r="J530" s="18"/>
      <c r="K530" s="18"/>
      <c r="L530" s="88">
        <f>SUM(F530:K530)</f>
        <v>33759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42761</v>
      </c>
      <c r="I531" s="18"/>
      <c r="J531" s="18"/>
      <c r="K531" s="18"/>
      <c r="L531" s="88">
        <f>SUM(F531:K531)</f>
        <v>42761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36010</v>
      </c>
      <c r="I532" s="18"/>
      <c r="J532" s="18"/>
      <c r="K532" s="18"/>
      <c r="L532" s="88">
        <f>SUM(F532:K532)</f>
        <v>36010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112530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112530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7920.84</v>
      </c>
      <c r="G540" s="18">
        <v>3490.13</v>
      </c>
      <c r="H540" s="18">
        <f>614.56+46644.24</f>
        <v>47258.799999999996</v>
      </c>
      <c r="I540" s="18">
        <v>1158.56</v>
      </c>
      <c r="J540" s="18"/>
      <c r="K540" s="18">
        <v>31.35</v>
      </c>
      <c r="L540" s="88">
        <f>SUM(F540:K540)</f>
        <v>59859.679999999993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8641.09</v>
      </c>
      <c r="G541" s="18">
        <v>3807.85</v>
      </c>
      <c r="H541" s="18">
        <f>670.43+5646.6</f>
        <v>6317.0300000000007</v>
      </c>
      <c r="I541" s="18">
        <v>1263.9000000000001</v>
      </c>
      <c r="J541" s="18"/>
      <c r="K541" s="18">
        <v>34.200000000000003</v>
      </c>
      <c r="L541" s="88">
        <f>SUM(F541:K541)</f>
        <v>20064.070000000003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7672.56</v>
      </c>
      <c r="G542" s="18">
        <v>3382.19</v>
      </c>
      <c r="H542" s="18">
        <f>577.33+19118.51</f>
        <v>19695.84</v>
      </c>
      <c r="I542" s="18">
        <v>1088.3399999999999</v>
      </c>
      <c r="J542" s="18"/>
      <c r="K542" s="18">
        <v>29.45</v>
      </c>
      <c r="L542" s="88">
        <f>SUM(F542:K542)</f>
        <v>31868.38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24234.49</v>
      </c>
      <c r="G543" s="194">
        <f t="shared" ref="G543:L543" si="40">SUM(G540:G542)</f>
        <v>10680.17</v>
      </c>
      <c r="H543" s="194">
        <f t="shared" si="40"/>
        <v>73271.67</v>
      </c>
      <c r="I543" s="194">
        <f t="shared" si="40"/>
        <v>3510.8</v>
      </c>
      <c r="J543" s="194">
        <f t="shared" si="40"/>
        <v>0</v>
      </c>
      <c r="K543" s="194">
        <f t="shared" si="40"/>
        <v>95.000000000000014</v>
      </c>
      <c r="L543" s="194">
        <f t="shared" si="40"/>
        <v>111792.13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1008028.6</v>
      </c>
      <c r="G544" s="89">
        <f t="shared" ref="G544:L544" si="41">G523+G528+G533+G538+G543</f>
        <v>499912.04</v>
      </c>
      <c r="H544" s="89">
        <f t="shared" si="41"/>
        <v>1372378.02</v>
      </c>
      <c r="I544" s="89">
        <f t="shared" si="41"/>
        <v>17978.900000000001</v>
      </c>
      <c r="J544" s="89">
        <f t="shared" si="41"/>
        <v>2811.99</v>
      </c>
      <c r="K544" s="89">
        <f t="shared" si="41"/>
        <v>1215</v>
      </c>
      <c r="L544" s="89">
        <f t="shared" si="41"/>
        <v>2902324.5500000003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537962.23999999999</v>
      </c>
      <c r="G548" s="87">
        <f>L525</f>
        <v>146343.26999999999</v>
      </c>
      <c r="H548" s="87">
        <f>L530</f>
        <v>33759</v>
      </c>
      <c r="I548" s="87">
        <f>L535</f>
        <v>0</v>
      </c>
      <c r="J548" s="87">
        <f>L540</f>
        <v>59859.679999999993</v>
      </c>
      <c r="K548" s="87">
        <f>SUM(F548:J548)</f>
        <v>777924.19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690474.90000000014</v>
      </c>
      <c r="G549" s="87">
        <f>L526</f>
        <v>99744.44</v>
      </c>
      <c r="H549" s="87">
        <f>L531</f>
        <v>42761</v>
      </c>
      <c r="I549" s="87">
        <f>L536</f>
        <v>0</v>
      </c>
      <c r="J549" s="87">
        <f>L541</f>
        <v>20064.070000000003</v>
      </c>
      <c r="K549" s="87">
        <f>SUM(F549:J549)</f>
        <v>853044.41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1129260.3700000001</v>
      </c>
      <c r="G550" s="87">
        <f>L527</f>
        <v>74217.2</v>
      </c>
      <c r="H550" s="87">
        <f>L532</f>
        <v>36010</v>
      </c>
      <c r="I550" s="87">
        <f>L537</f>
        <v>0</v>
      </c>
      <c r="J550" s="87">
        <f>L542</f>
        <v>31868.38</v>
      </c>
      <c r="K550" s="87">
        <f>SUM(F550:J550)</f>
        <v>1271355.95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2357697.5100000002</v>
      </c>
      <c r="G551" s="89">
        <f t="shared" si="42"/>
        <v>320304.90999999997</v>
      </c>
      <c r="H551" s="89">
        <f t="shared" si="42"/>
        <v>112530</v>
      </c>
      <c r="I551" s="89">
        <f t="shared" si="42"/>
        <v>0</v>
      </c>
      <c r="J551" s="89">
        <f t="shared" si="42"/>
        <v>111792.13</v>
      </c>
      <c r="K551" s="89">
        <f t="shared" si="42"/>
        <v>2902324.55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165138.87</v>
      </c>
      <c r="G556" s="18">
        <v>59948.41</v>
      </c>
      <c r="H556" s="18"/>
      <c r="I556" s="18">
        <v>755.79</v>
      </c>
      <c r="J556" s="18"/>
      <c r="K556" s="18"/>
      <c r="L556" s="88">
        <f>SUM(F556:K556)</f>
        <v>225843.07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16858</v>
      </c>
      <c r="G557" s="18">
        <v>14487.15</v>
      </c>
      <c r="H557" s="18"/>
      <c r="I557" s="18"/>
      <c r="J557" s="18"/>
      <c r="K557" s="18"/>
      <c r="L557" s="88">
        <f>SUM(F557:K557)</f>
        <v>31345.15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181996.87</v>
      </c>
      <c r="G559" s="108">
        <f t="shared" si="43"/>
        <v>74435.56</v>
      </c>
      <c r="H559" s="108">
        <f t="shared" si="43"/>
        <v>0</v>
      </c>
      <c r="I559" s="108">
        <f t="shared" si="43"/>
        <v>755.79</v>
      </c>
      <c r="J559" s="108">
        <f t="shared" si="43"/>
        <v>0</v>
      </c>
      <c r="K559" s="108">
        <f t="shared" si="43"/>
        <v>0</v>
      </c>
      <c r="L559" s="89">
        <f t="shared" si="43"/>
        <v>257188.22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16797.189999999999</v>
      </c>
      <c r="G561" s="18">
        <v>5420.6</v>
      </c>
      <c r="H561" s="18"/>
      <c r="I561" s="18">
        <v>11.36</v>
      </c>
      <c r="J561" s="18"/>
      <c r="K561" s="18"/>
      <c r="L561" s="88">
        <f>SUM(F561:K561)</f>
        <v>22229.15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12501.61</v>
      </c>
      <c r="G562" s="18">
        <v>4235.47</v>
      </c>
      <c r="H562" s="18"/>
      <c r="I562" s="18">
        <v>123.54</v>
      </c>
      <c r="J562" s="18"/>
      <c r="K562" s="18"/>
      <c r="L562" s="88">
        <f>SUM(F562:K562)</f>
        <v>16860.620000000003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477.2</v>
      </c>
      <c r="G563" s="18">
        <v>154.54</v>
      </c>
      <c r="H563" s="18"/>
      <c r="I563" s="18">
        <v>7.1</v>
      </c>
      <c r="J563" s="18"/>
      <c r="K563" s="18"/>
      <c r="L563" s="88">
        <f>SUM(F563:K563)</f>
        <v>638.84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29776</v>
      </c>
      <c r="G564" s="89">
        <f t="shared" si="44"/>
        <v>9810.61</v>
      </c>
      <c r="H564" s="89">
        <f t="shared" si="44"/>
        <v>0</v>
      </c>
      <c r="I564" s="89">
        <f t="shared" si="44"/>
        <v>142</v>
      </c>
      <c r="J564" s="89">
        <f t="shared" si="44"/>
        <v>0</v>
      </c>
      <c r="K564" s="89">
        <f t="shared" si="44"/>
        <v>0</v>
      </c>
      <c r="L564" s="89">
        <f t="shared" si="44"/>
        <v>39728.61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211772.87</v>
      </c>
      <c r="G570" s="89">
        <f t="shared" ref="G570:L570" si="46">G559+G564+G569</f>
        <v>84246.17</v>
      </c>
      <c r="H570" s="89">
        <f t="shared" si="46"/>
        <v>0</v>
      </c>
      <c r="I570" s="89">
        <f t="shared" si="46"/>
        <v>897.79</v>
      </c>
      <c r="J570" s="89">
        <f t="shared" si="46"/>
        <v>0</v>
      </c>
      <c r="K570" s="89">
        <f t="shared" si="46"/>
        <v>0</v>
      </c>
      <c r="L570" s="89">
        <f t="shared" si="46"/>
        <v>296916.83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7927.5</v>
      </c>
      <c r="I579" s="87">
        <f t="shared" si="47"/>
        <v>7927.5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110398.74</v>
      </c>
      <c r="G581" s="18">
        <v>118440.71</v>
      </c>
      <c r="H581" s="18">
        <v>355307.26</v>
      </c>
      <c r="I581" s="87">
        <f t="shared" si="47"/>
        <v>584146.71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274987.5</v>
      </c>
      <c r="I584" s="87">
        <f t="shared" si="47"/>
        <v>274987.5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99243.71</v>
      </c>
      <c r="I590" s="18">
        <v>108265.88</v>
      </c>
      <c r="J590" s="18">
        <v>93228.96</v>
      </c>
      <c r="K590" s="104">
        <f t="shared" ref="K590:K596" si="48">SUM(H590:J590)</f>
        <v>300738.55000000005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57084.68</v>
      </c>
      <c r="I591" s="18">
        <v>20064.07</v>
      </c>
      <c r="J591" s="18">
        <v>31868.38</v>
      </c>
      <c r="K591" s="104">
        <f t="shared" si="48"/>
        <v>109017.13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13722.57</v>
      </c>
      <c r="K592" s="104">
        <f t="shared" si="48"/>
        <v>13722.57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4386.93</v>
      </c>
      <c r="J593" s="18">
        <v>26044.27</v>
      </c>
      <c r="K593" s="104">
        <f t="shared" si="48"/>
        <v>30431.200000000001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35.75</v>
      </c>
      <c r="I594" s="18">
        <v>8928.24</v>
      </c>
      <c r="J594" s="18">
        <v>900</v>
      </c>
      <c r="K594" s="104">
        <f t="shared" si="48"/>
        <v>9863.99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11540.28</v>
      </c>
      <c r="I596" s="18">
        <v>12589.42</v>
      </c>
      <c r="J596" s="18">
        <v>10840.89</v>
      </c>
      <c r="K596" s="104">
        <f t="shared" si="48"/>
        <v>34970.589999999997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167904.42</v>
      </c>
      <c r="I597" s="108">
        <f>SUM(I590:I596)</f>
        <v>154234.54</v>
      </c>
      <c r="J597" s="108">
        <f>SUM(J590:J596)</f>
        <v>176605.07</v>
      </c>
      <c r="K597" s="108">
        <f>SUM(K590:K596)</f>
        <v>498744.03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30419.8</v>
      </c>
      <c r="I603" s="18">
        <v>35714.22</v>
      </c>
      <c r="J603" s="18">
        <v>67573.350000000006</v>
      </c>
      <c r="K603" s="104">
        <f>SUM(H603:J603)</f>
        <v>133707.37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30419.8</v>
      </c>
      <c r="I604" s="108">
        <f>SUM(I601:I603)</f>
        <v>35714.22</v>
      </c>
      <c r="J604" s="108">
        <f>SUM(J601:J603)</f>
        <v>67573.350000000006</v>
      </c>
      <c r="K604" s="108">
        <f>SUM(K601:K603)</f>
        <v>133707.37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21228.79</v>
      </c>
      <c r="G610" s="18">
        <v>4015.05</v>
      </c>
      <c r="H610" s="18">
        <v>4833.72</v>
      </c>
      <c r="I610" s="18">
        <v>10.050000000000001</v>
      </c>
      <c r="J610" s="18"/>
      <c r="K610" s="18"/>
      <c r="L610" s="88">
        <f>SUM(F610:K610)</f>
        <v>30087.61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15444.11</v>
      </c>
      <c r="G611" s="18">
        <v>2675.32</v>
      </c>
      <c r="H611" s="18">
        <v>5985.75</v>
      </c>
      <c r="I611" s="18">
        <v>1444.82</v>
      </c>
      <c r="J611" s="18"/>
      <c r="K611" s="18"/>
      <c r="L611" s="88">
        <f>SUM(F611:K611)</f>
        <v>25550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13038.78</v>
      </c>
      <c r="G612" s="18">
        <v>2420.8000000000002</v>
      </c>
      <c r="H612" s="18">
        <f>3821.13+22478.06</f>
        <v>26299.190000000002</v>
      </c>
      <c r="I612" s="18">
        <v>100</v>
      </c>
      <c r="J612" s="18"/>
      <c r="K612" s="18"/>
      <c r="L612" s="88">
        <f>SUM(F612:K612)</f>
        <v>41858.770000000004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49711.68</v>
      </c>
      <c r="G613" s="108">
        <f t="shared" si="49"/>
        <v>9111.1700000000019</v>
      </c>
      <c r="H613" s="108">
        <f t="shared" si="49"/>
        <v>37118.660000000003</v>
      </c>
      <c r="I613" s="108">
        <f t="shared" si="49"/>
        <v>1554.87</v>
      </c>
      <c r="J613" s="108">
        <f t="shared" si="49"/>
        <v>0</v>
      </c>
      <c r="K613" s="108">
        <f t="shared" si="49"/>
        <v>0</v>
      </c>
      <c r="L613" s="89">
        <f t="shared" si="49"/>
        <v>97496.38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422791.33999999997</v>
      </c>
      <c r="H616" s="109">
        <f>SUM(F51)</f>
        <v>422791.33999999997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10568.64</v>
      </c>
      <c r="H617" s="109">
        <f>SUM(G51)</f>
        <v>10568.64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123045.06</v>
      </c>
      <c r="H618" s="109">
        <f>SUM(H51)</f>
        <v>123045.06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1505.99</v>
      </c>
      <c r="H619" s="109">
        <f>SUM(I51)</f>
        <v>1505.99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327674.68</v>
      </c>
      <c r="H620" s="109">
        <f>SUM(J51)</f>
        <v>327674.68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220795.86</v>
      </c>
      <c r="H621" s="109">
        <f>F475</f>
        <v>220795.86000000499</v>
      </c>
      <c r="I621" s="121" t="s">
        <v>101</v>
      </c>
      <c r="J621" s="109">
        <f t="shared" ref="J621:J654" si="50">G621-H621</f>
        <v>-5.005858838558197E-9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327674.68</v>
      </c>
      <c r="H625" s="109">
        <f>J475</f>
        <v>327674.68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12451277.76</v>
      </c>
      <c r="H626" s="104">
        <f>SUM(F467)</f>
        <v>12451277.76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344230.95</v>
      </c>
      <c r="H627" s="104">
        <f>SUM(G467)</f>
        <v>344230.95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481359.52</v>
      </c>
      <c r="H628" s="104">
        <f>SUM(H467)</f>
        <v>481359.52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73535.149999999994</v>
      </c>
      <c r="H629" s="104">
        <f>SUM(I467)</f>
        <v>73535.149999999994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56748.75</v>
      </c>
      <c r="H630" s="104">
        <f>SUM(J467)</f>
        <v>56748.75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12290875.99</v>
      </c>
      <c r="H631" s="104">
        <f>SUM(F471)</f>
        <v>12290875.989999998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481359.52</v>
      </c>
      <c r="H632" s="104">
        <f>SUM(H471)</f>
        <v>481359.52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344230.95</v>
      </c>
      <c r="H634" s="104">
        <f>SUM(G471)</f>
        <v>344230.95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73535.149999999994</v>
      </c>
      <c r="H635" s="104">
        <f>SUM(I471)</f>
        <v>73535.149999999994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56748.750000000007</v>
      </c>
      <c r="H636" s="164">
        <f>SUM(J467)</f>
        <v>56748.75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83818</v>
      </c>
      <c r="H637" s="164">
        <f>SUM(J471)</f>
        <v>83818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26739.45</v>
      </c>
      <c r="H638" s="104">
        <f>SUM(F460)</f>
        <v>26739.45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300935.23</v>
      </c>
      <c r="H639" s="104">
        <f>SUM(G460)</f>
        <v>300935.23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327674.68</v>
      </c>
      <c r="H641" s="104">
        <f>SUM(I460)</f>
        <v>327674.68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35.86</v>
      </c>
      <c r="H643" s="104">
        <f>H407</f>
        <v>35.86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56712.89</v>
      </c>
      <c r="H644" s="104">
        <f>G407</f>
        <v>56712.89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56748.75</v>
      </c>
      <c r="H645" s="104">
        <f>L407</f>
        <v>56748.750000000007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498744.03</v>
      </c>
      <c r="H646" s="104">
        <f>L207+L225+L243</f>
        <v>498744.03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133707.37</v>
      </c>
      <c r="H647" s="104">
        <f>(J256+J337)-(J254+J335)</f>
        <v>133707.37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167904.42</v>
      </c>
      <c r="H648" s="104">
        <f>H597</f>
        <v>167904.42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154234.54</v>
      </c>
      <c r="H649" s="104">
        <f>I597</f>
        <v>154234.54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176605.07</v>
      </c>
      <c r="H650" s="104">
        <f>J597</f>
        <v>176605.07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30561.119999999999</v>
      </c>
      <c r="H651" s="104">
        <f>K262+K344</f>
        <v>30561.119999999999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56712.89</v>
      </c>
      <c r="H654" s="104">
        <f>K265+K346</f>
        <v>56712.89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3293336.54</v>
      </c>
      <c r="G659" s="19">
        <f>(L228+L308+L358)</f>
        <v>4102010.5399999991</v>
      </c>
      <c r="H659" s="19">
        <f>(L246+L327+L359)</f>
        <v>5011918.1899999995</v>
      </c>
      <c r="I659" s="19">
        <f>SUM(F659:H659)</f>
        <v>12407265.27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44463.445246908217</v>
      </c>
      <c r="G660" s="19">
        <f>(L358/IF(SUM(L357:L359)=0,1,SUM(L357:L359))*(SUM(G96:G109)))</f>
        <v>59135.290466092891</v>
      </c>
      <c r="H660" s="19">
        <f>(L359/IF(SUM(L357:L359)=0,1,SUM(L357:L359))*(SUM(G96:G109)))</f>
        <v>41823.89428699889</v>
      </c>
      <c r="I660" s="19">
        <f>SUM(F660:H660)</f>
        <v>145422.63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170679.42</v>
      </c>
      <c r="G661" s="19">
        <f>(L225+L305)-(J225+J305)</f>
        <v>157965.89000000001</v>
      </c>
      <c r="H661" s="19">
        <f>(L243+L324)-(J243+J324)</f>
        <v>179578.42</v>
      </c>
      <c r="I661" s="19">
        <f>SUM(F661:H661)</f>
        <v>508223.7300000001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170906.15000000002</v>
      </c>
      <c r="G662" s="200">
        <f>SUM(G574:G586)+SUM(I601:I603)+L611</f>
        <v>179704.93</v>
      </c>
      <c r="H662" s="200">
        <f>SUM(H574:H586)+SUM(J601:J603)+L612</f>
        <v>747654.38</v>
      </c>
      <c r="I662" s="19">
        <f>SUM(F662:H662)</f>
        <v>1098265.46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2907287.5247530919</v>
      </c>
      <c r="G663" s="19">
        <f>G659-SUM(G660:G662)</f>
        <v>3705204.4295339063</v>
      </c>
      <c r="H663" s="19">
        <f>H659-SUM(H660:H662)</f>
        <v>4042861.4957130007</v>
      </c>
      <c r="I663" s="19">
        <f>I659-SUM(I660:I662)</f>
        <v>10655353.449999999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213.48</v>
      </c>
      <c r="G664" s="249">
        <v>269.76</v>
      </c>
      <c r="H664" s="249">
        <v>264.45999999999998</v>
      </c>
      <c r="I664" s="19">
        <f>SUM(F664:H664)</f>
        <v>747.7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13618.55</v>
      </c>
      <c r="G666" s="19">
        <f>ROUND(G663/G664,2)</f>
        <v>13735.19</v>
      </c>
      <c r="H666" s="19">
        <f>ROUND(H663/H664,2)</f>
        <v>15287.23</v>
      </c>
      <c r="I666" s="19">
        <f>ROUND(I663/I664,2)</f>
        <v>14250.84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-30.52</v>
      </c>
      <c r="I669" s="19">
        <f>SUM(F669:H669)</f>
        <v>-30.52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13618.55</v>
      </c>
      <c r="G671" s="19">
        <f>ROUND((G663+G668)/(G664+G669),2)</f>
        <v>13735.19</v>
      </c>
      <c r="H671" s="19">
        <f>ROUND((H663+H668)/(H664+H669),2)</f>
        <v>17281.62</v>
      </c>
      <c r="I671" s="19">
        <f>ROUND((I663+I668)/(I664+I669),2)</f>
        <v>14857.29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HAVERHILL COOPERATIVE</v>
      </c>
      <c r="C1" s="239" t="s">
        <v>839</v>
      </c>
    </row>
    <row r="2" spans="1:3" x14ac:dyDescent="0.2">
      <c r="A2" s="234"/>
      <c r="B2" s="233"/>
    </row>
    <row r="3" spans="1:3" x14ac:dyDescent="0.2">
      <c r="A3" s="277" t="s">
        <v>784</v>
      </c>
      <c r="B3" s="277"/>
      <c r="C3" s="277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6" t="s">
        <v>783</v>
      </c>
      <c r="C6" s="276"/>
    </row>
    <row r="7" spans="1:3" x14ac:dyDescent="0.2">
      <c r="A7" s="240" t="s">
        <v>786</v>
      </c>
      <c r="B7" s="274" t="s">
        <v>782</v>
      </c>
      <c r="C7" s="275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3046219.51</v>
      </c>
      <c r="C9" s="230">
        <f>'DOE25'!G196+'DOE25'!G214+'DOE25'!G232+'DOE25'!G275+'DOE25'!G294+'DOE25'!G313</f>
        <v>1148941.9300000002</v>
      </c>
    </row>
    <row r="10" spans="1:3" x14ac:dyDescent="0.2">
      <c r="A10" t="s">
        <v>779</v>
      </c>
      <c r="B10" s="241">
        <v>2978918.41</v>
      </c>
      <c r="C10" s="241">
        <v>1143747.3400000001</v>
      </c>
    </row>
    <row r="11" spans="1:3" x14ac:dyDescent="0.2">
      <c r="A11" t="s">
        <v>780</v>
      </c>
      <c r="B11" s="241">
        <v>616.79999999999995</v>
      </c>
      <c r="C11" s="241">
        <v>92.92</v>
      </c>
    </row>
    <row r="12" spans="1:3" x14ac:dyDescent="0.2">
      <c r="A12" t="s">
        <v>781</v>
      </c>
      <c r="B12" s="241">
        <v>66684.3</v>
      </c>
      <c r="C12" s="241">
        <v>5101.67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3046219.51</v>
      </c>
      <c r="C13" s="232">
        <f>SUM(C10:C12)</f>
        <v>1148941.93</v>
      </c>
    </row>
    <row r="14" spans="1:3" x14ac:dyDescent="0.2">
      <c r="B14" s="231"/>
      <c r="C14" s="231"/>
    </row>
    <row r="15" spans="1:3" x14ac:dyDescent="0.2">
      <c r="B15" s="276" t="s">
        <v>783</v>
      </c>
      <c r="C15" s="276"/>
    </row>
    <row r="16" spans="1:3" x14ac:dyDescent="0.2">
      <c r="A16" s="240" t="s">
        <v>787</v>
      </c>
      <c r="B16" s="274" t="s">
        <v>707</v>
      </c>
      <c r="C16" s="275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1265342.42</v>
      </c>
      <c r="C18" s="230">
        <f>'DOE25'!G197+'DOE25'!G215+'DOE25'!G233+'DOE25'!G276+'DOE25'!G295+'DOE25'!G314</f>
        <v>599158.25999999989</v>
      </c>
    </row>
    <row r="19" spans="1:3" x14ac:dyDescent="0.2">
      <c r="A19" t="s">
        <v>779</v>
      </c>
      <c r="B19" s="241">
        <v>699032.38</v>
      </c>
      <c r="C19" s="241">
        <v>299415.81</v>
      </c>
    </row>
    <row r="20" spans="1:3" x14ac:dyDescent="0.2">
      <c r="A20" t="s">
        <v>780</v>
      </c>
      <c r="B20" s="241">
        <v>529844.38</v>
      </c>
      <c r="C20" s="241">
        <v>296926.93</v>
      </c>
    </row>
    <row r="21" spans="1:3" x14ac:dyDescent="0.2">
      <c r="A21" t="s">
        <v>781</v>
      </c>
      <c r="B21" s="241">
        <v>36465.660000000003</v>
      </c>
      <c r="C21" s="241">
        <v>2815.52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1265342.42</v>
      </c>
      <c r="C22" s="232">
        <f>SUM(C19:C21)</f>
        <v>599158.26</v>
      </c>
    </row>
    <row r="23" spans="1:3" x14ac:dyDescent="0.2">
      <c r="B23" s="231"/>
      <c r="C23" s="231"/>
    </row>
    <row r="24" spans="1:3" x14ac:dyDescent="0.2">
      <c r="B24" s="276" t="s">
        <v>783</v>
      </c>
      <c r="C24" s="276"/>
    </row>
    <row r="25" spans="1:3" x14ac:dyDescent="0.2">
      <c r="A25" s="240" t="s">
        <v>788</v>
      </c>
      <c r="B25" s="274" t="s">
        <v>708</v>
      </c>
      <c r="C25" s="275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40" t="s">
        <v>789</v>
      </c>
      <c r="B34" s="274" t="s">
        <v>709</v>
      </c>
      <c r="C34" s="275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213901.8</v>
      </c>
      <c r="C36" s="236">
        <f>'DOE25'!G199+'DOE25'!G217+'DOE25'!G235+'DOE25'!G278+'DOE25'!G297+'DOE25'!G316</f>
        <v>42006.929999999993</v>
      </c>
    </row>
    <row r="37" spans="1:3" x14ac:dyDescent="0.2">
      <c r="A37" t="s">
        <v>779</v>
      </c>
      <c r="B37" s="241">
        <v>45884.99</v>
      </c>
      <c r="C37" s="241">
        <v>9140.15</v>
      </c>
    </row>
    <row r="38" spans="1:3" x14ac:dyDescent="0.2">
      <c r="A38" t="s">
        <v>780</v>
      </c>
      <c r="B38" s="241">
        <v>28664.240000000002</v>
      </c>
      <c r="C38" s="241">
        <v>4836.42</v>
      </c>
    </row>
    <row r="39" spans="1:3" x14ac:dyDescent="0.2">
      <c r="A39" t="s">
        <v>781</v>
      </c>
      <c r="B39" s="241">
        <v>139352.57</v>
      </c>
      <c r="C39" s="241">
        <v>28030.36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213901.8</v>
      </c>
      <c r="C40" s="232">
        <f>SUM(C37:C39)</f>
        <v>42006.93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8" sqref="E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6" t="str">
        <f>'DOE25'!A2</f>
        <v>HAVERHILL COOPERATIVE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7478773.0800000001</v>
      </c>
      <c r="D5" s="20">
        <f>SUM('DOE25'!L196:L199)+SUM('DOE25'!L214:L217)+SUM('DOE25'!L232:L235)-F5-G5</f>
        <v>7378592.54</v>
      </c>
      <c r="E5" s="244"/>
      <c r="F5" s="256">
        <f>SUM('DOE25'!J196:J199)+SUM('DOE25'!J214:J217)+SUM('DOE25'!J232:J235)</f>
        <v>79785.759999999995</v>
      </c>
      <c r="G5" s="53">
        <f>SUM('DOE25'!K196:K199)+SUM('DOE25'!K214:K217)+SUM('DOE25'!K232:K235)</f>
        <v>20394.78</v>
      </c>
      <c r="H5" s="260"/>
    </row>
    <row r="6" spans="1:9" x14ac:dyDescent="0.2">
      <c r="A6" s="32">
        <v>2100</v>
      </c>
      <c r="B6" t="s">
        <v>801</v>
      </c>
      <c r="C6" s="246">
        <f t="shared" si="0"/>
        <v>912491.58</v>
      </c>
      <c r="D6" s="20">
        <f>'DOE25'!L201+'DOE25'!L219+'DOE25'!L237-F6-G6</f>
        <v>905733.69</v>
      </c>
      <c r="E6" s="244"/>
      <c r="F6" s="256">
        <f>'DOE25'!J201+'DOE25'!J219+'DOE25'!J237</f>
        <v>1740.3799999999999</v>
      </c>
      <c r="G6" s="53">
        <f>'DOE25'!K201+'DOE25'!K219+'DOE25'!K237</f>
        <v>5017.51</v>
      </c>
      <c r="H6" s="260"/>
    </row>
    <row r="7" spans="1:9" x14ac:dyDescent="0.2">
      <c r="A7" s="32">
        <v>2200</v>
      </c>
      <c r="B7" t="s">
        <v>834</v>
      </c>
      <c r="C7" s="246">
        <f t="shared" si="0"/>
        <v>280875.39</v>
      </c>
      <c r="D7" s="20">
        <f>'DOE25'!L202+'DOE25'!L220+'DOE25'!L238-F7-G7</f>
        <v>280875.39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417050.77</v>
      </c>
      <c r="D8" s="244"/>
      <c r="E8" s="20">
        <f>'DOE25'!L203+'DOE25'!L221+'DOE25'!L239-F8-G8-D9-D11</f>
        <v>413276</v>
      </c>
      <c r="F8" s="256">
        <f>'DOE25'!J203+'DOE25'!J221+'DOE25'!J239</f>
        <v>0</v>
      </c>
      <c r="G8" s="53">
        <f>'DOE25'!K203+'DOE25'!K221+'DOE25'!K239</f>
        <v>3774.7700000000004</v>
      </c>
      <c r="H8" s="260"/>
    </row>
    <row r="9" spans="1:9" x14ac:dyDescent="0.2">
      <c r="A9" s="32">
        <v>2310</v>
      </c>
      <c r="B9" t="s">
        <v>818</v>
      </c>
      <c r="C9" s="246">
        <f t="shared" si="0"/>
        <v>71724.850000000006</v>
      </c>
      <c r="D9" s="245">
        <v>71724.850000000006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14801</v>
      </c>
      <c r="D10" s="244"/>
      <c r="E10" s="245">
        <v>14801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121789</v>
      </c>
      <c r="D11" s="245">
        <v>121789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765747.72</v>
      </c>
      <c r="D12" s="20">
        <f>'DOE25'!L204+'DOE25'!L222+'DOE25'!L240-F12-G12</f>
        <v>760881.00999999989</v>
      </c>
      <c r="E12" s="244"/>
      <c r="F12" s="256">
        <f>'DOE25'!J204+'DOE25'!J222+'DOE25'!J240</f>
        <v>1878.17</v>
      </c>
      <c r="G12" s="53">
        <f>'DOE25'!K204+'DOE25'!K222+'DOE25'!K240</f>
        <v>2988.54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1462.5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1462.5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914000.73999999987</v>
      </c>
      <c r="D14" s="20">
        <f>'DOE25'!L206+'DOE25'!L224+'DOE25'!L242-F14-G14</f>
        <v>867190.65999999992</v>
      </c>
      <c r="E14" s="244"/>
      <c r="F14" s="256">
        <f>'DOE25'!J206+'DOE25'!J224+'DOE25'!J242</f>
        <v>46810.080000000002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498744.03</v>
      </c>
      <c r="D15" s="20">
        <f>'DOE25'!L207+'DOE25'!L225+'DOE25'!L243-F15-G15</f>
        <v>498649.03</v>
      </c>
      <c r="E15" s="244"/>
      <c r="F15" s="256">
        <f>'DOE25'!J207+'DOE25'!J225+'DOE25'!J243</f>
        <v>0</v>
      </c>
      <c r="G15" s="53">
        <f>'DOE25'!K207+'DOE25'!K225+'DOE25'!K243</f>
        <v>95.000000000000014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119015.14</v>
      </c>
      <c r="D16" s="244"/>
      <c r="E16" s="20">
        <f>'DOE25'!L208+'DOE25'!L226+'DOE25'!L244-F16-G16</f>
        <v>118416.16</v>
      </c>
      <c r="F16" s="256">
        <f>'DOE25'!J208+'DOE25'!J226+'DOE25'!J244</f>
        <v>598.98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52683.159999999996</v>
      </c>
      <c r="D19" s="20">
        <f>'DOE25'!L252-F19-G19</f>
        <v>52683.159999999996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558344.02</v>
      </c>
      <c r="D25" s="244"/>
      <c r="E25" s="244"/>
      <c r="F25" s="259"/>
      <c r="G25" s="257"/>
      <c r="H25" s="258">
        <f>'DOE25'!L259+'DOE25'!L260+'DOE25'!L340+'DOE25'!L341</f>
        <v>558344.02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344230.95</v>
      </c>
      <c r="D29" s="20">
        <f>'DOE25'!L357+'DOE25'!L358+'DOE25'!L359-'DOE25'!I366-F29-G29</f>
        <v>343020.95</v>
      </c>
      <c r="E29" s="244"/>
      <c r="F29" s="256">
        <f>'DOE25'!J357+'DOE25'!J358+'DOE25'!J359</f>
        <v>1210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481359.52</v>
      </c>
      <c r="D31" s="20">
        <f>'DOE25'!L289+'DOE25'!L308+'DOE25'!L327+'DOE25'!L332+'DOE25'!L333+'DOE25'!L334-F31-G31</f>
        <v>470284.21</v>
      </c>
      <c r="E31" s="244"/>
      <c r="F31" s="256">
        <f>'DOE25'!J289+'DOE25'!J308+'DOE25'!J327+'DOE25'!J332+'DOE25'!J333+'DOE25'!J334</f>
        <v>2894</v>
      </c>
      <c r="G31" s="53">
        <f>'DOE25'!K289+'DOE25'!K308+'DOE25'!K327+'DOE25'!K332+'DOE25'!K333+'DOE25'!K334</f>
        <v>8181.3099999999995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11751424.49</v>
      </c>
      <c r="E33" s="247">
        <f>SUM(E5:E31)</f>
        <v>546493.16</v>
      </c>
      <c r="F33" s="247">
        <f>SUM(F5:F31)</f>
        <v>134917.37</v>
      </c>
      <c r="G33" s="247">
        <f>SUM(G5:G31)</f>
        <v>41914.410000000003</v>
      </c>
      <c r="H33" s="247">
        <f>SUM(H5:H31)</f>
        <v>558344.02</v>
      </c>
    </row>
    <row r="35" spans="2:8" ht="12" thickBot="1" x14ac:dyDescent="0.25">
      <c r="B35" s="254" t="s">
        <v>847</v>
      </c>
      <c r="D35" s="255">
        <f>E33</f>
        <v>546493.16</v>
      </c>
      <c r="E35" s="250"/>
    </row>
    <row r="36" spans="2:8" ht="12" thickTop="1" x14ac:dyDescent="0.2">
      <c r="B36" t="s">
        <v>815</v>
      </c>
      <c r="D36" s="20">
        <f>D33</f>
        <v>11751424.49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HAVERHILL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123105.34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327674.68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111382.23</v>
      </c>
      <c r="D11" s="95">
        <f>'DOE25'!G12</f>
        <v>0</v>
      </c>
      <c r="E11" s="95">
        <f>'DOE25'!H12</f>
        <v>0</v>
      </c>
      <c r="F11" s="95">
        <f>'DOE25'!I12</f>
        <v>1505.99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173979.02</v>
      </c>
      <c r="D12" s="95">
        <f>'DOE25'!G13</f>
        <v>7347.79</v>
      </c>
      <c r="E12" s="95">
        <f>'DOE25'!H13</f>
        <v>123045.06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13138.24</v>
      </c>
      <c r="D13" s="95">
        <f>'DOE25'!G14</f>
        <v>3220.85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1186.51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422791.33999999997</v>
      </c>
      <c r="D18" s="41">
        <f>SUM(D8:D17)</f>
        <v>10568.64</v>
      </c>
      <c r="E18" s="41">
        <f>SUM(E8:E17)</f>
        <v>123045.06</v>
      </c>
      <c r="F18" s="41">
        <f>SUM(F8:F17)</f>
        <v>1505.99</v>
      </c>
      <c r="G18" s="41">
        <f>SUM(G8:G17)</f>
        <v>327674.68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9963.9</v>
      </c>
      <c r="E21" s="95">
        <f>'DOE25'!H22</f>
        <v>102124.32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77853.289999999994</v>
      </c>
      <c r="D23" s="95">
        <f>'DOE25'!G24</f>
        <v>604.74</v>
      </c>
      <c r="E23" s="95">
        <f>'DOE25'!H24</f>
        <v>1175.42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100000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20197.189999999999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3545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400</v>
      </c>
      <c r="D29" s="95">
        <f>'DOE25'!G30</f>
        <v>0</v>
      </c>
      <c r="E29" s="95">
        <f>'DOE25'!H30</f>
        <v>19745.32</v>
      </c>
      <c r="F29" s="95">
        <f>'DOE25'!I30</f>
        <v>1505.99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201995.47999999998</v>
      </c>
      <c r="D31" s="41">
        <f>SUM(D21:D30)</f>
        <v>10568.64</v>
      </c>
      <c r="E31" s="41">
        <f>SUM(E21:E30)</f>
        <v>123045.06</v>
      </c>
      <c r="F31" s="41">
        <f>SUM(F21:F30)</f>
        <v>1505.99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80000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31864.38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327674.68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108931.48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220795.86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327674.68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422791.33999999997</v>
      </c>
      <c r="D50" s="41">
        <f>D49+D31</f>
        <v>10568.64</v>
      </c>
      <c r="E50" s="41">
        <f>E49+E31</f>
        <v>123045.06</v>
      </c>
      <c r="F50" s="41">
        <f>F49+F31</f>
        <v>1505.99</v>
      </c>
      <c r="G50" s="41">
        <f>G49+G31</f>
        <v>327674.68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5187939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1599664.63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21586.01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35.86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142041.21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95563.049999999988</v>
      </c>
      <c r="D60" s="95">
        <f>SUM('DOE25'!G97:G109)</f>
        <v>3381.42</v>
      </c>
      <c r="E60" s="95">
        <f>SUM('DOE25'!H97:H109)</f>
        <v>63389.65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1716813.69</v>
      </c>
      <c r="D61" s="130">
        <f>SUM(D56:D60)</f>
        <v>145422.63</v>
      </c>
      <c r="E61" s="130">
        <f>SUM(E56:E60)</f>
        <v>63389.65</v>
      </c>
      <c r="F61" s="130">
        <f>SUM(F56:F60)</f>
        <v>0</v>
      </c>
      <c r="G61" s="130">
        <f>SUM(G56:G60)</f>
        <v>35.86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6904752.6899999995</v>
      </c>
      <c r="D62" s="22">
        <f>D55+D61</f>
        <v>145422.63</v>
      </c>
      <c r="E62" s="22">
        <f>E55+E61</f>
        <v>63389.65</v>
      </c>
      <c r="F62" s="22">
        <f>F55+F61</f>
        <v>0</v>
      </c>
      <c r="G62" s="22">
        <f>G55+G61</f>
        <v>35.86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3812865.4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826172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3303.6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4642341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321290.34000000003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134375.37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123865.79000000001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3608.39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579531.5</v>
      </c>
      <c r="D77" s="130">
        <f>SUM(D71:D76)</f>
        <v>3608.39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5221872.5</v>
      </c>
      <c r="D80" s="130">
        <f>SUM(D78:D79)+D77+D69</f>
        <v>3608.39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288899.57</v>
      </c>
      <c r="D87" s="95">
        <f>SUM('DOE25'!G152:G160)</f>
        <v>164638.81</v>
      </c>
      <c r="E87" s="95">
        <f>SUM('DOE25'!H152:H160)</f>
        <v>417969.87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1935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290834.57</v>
      </c>
      <c r="D90" s="131">
        <f>SUM(D84:D89)</f>
        <v>164638.81</v>
      </c>
      <c r="E90" s="131">
        <f>SUM(E84:E89)</f>
        <v>417969.87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73535.149999999994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-50000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30561.119999999999</v>
      </c>
      <c r="E95" s="95">
        <f>'DOE25'!H178</f>
        <v>0</v>
      </c>
      <c r="F95" s="95">
        <f>'DOE25'!I178</f>
        <v>0</v>
      </c>
      <c r="G95" s="95">
        <f>'DOE25'!J178</f>
        <v>56712.89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83818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33818</v>
      </c>
      <c r="D102" s="86">
        <f>SUM(D92:D101)</f>
        <v>30561.119999999999</v>
      </c>
      <c r="E102" s="86">
        <f>SUM(E92:E101)</f>
        <v>0</v>
      </c>
      <c r="F102" s="86">
        <f>SUM(F92:F101)</f>
        <v>73535.149999999994</v>
      </c>
      <c r="G102" s="86">
        <f>SUM(G92:G101)</f>
        <v>56712.89</v>
      </c>
    </row>
    <row r="103" spans="1:7" ht="12.75" thickTop="1" thickBot="1" x14ac:dyDescent="0.25">
      <c r="A103" s="33" t="s">
        <v>765</v>
      </c>
      <c r="C103" s="86">
        <f>C62+C80+C90+C102</f>
        <v>12451277.76</v>
      </c>
      <c r="D103" s="86">
        <f>D62+D80+D90+D102</f>
        <v>344230.95</v>
      </c>
      <c r="E103" s="86">
        <f>E62+E80+E90+E102</f>
        <v>481359.52</v>
      </c>
      <c r="F103" s="86">
        <f>F62+F80+F90+F102</f>
        <v>73535.149999999994</v>
      </c>
      <c r="G103" s="86">
        <f>G62+G80+G102</f>
        <v>56748.75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4437285.3899999997</v>
      </c>
      <c r="D108" s="24" t="s">
        <v>289</v>
      </c>
      <c r="E108" s="95">
        <f>('DOE25'!L275)+('DOE25'!L294)+('DOE25'!L313)</f>
        <v>64248.58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2493231.6599999997</v>
      </c>
      <c r="D109" s="24" t="s">
        <v>289</v>
      </c>
      <c r="E109" s="95">
        <f>('DOE25'!L276)+('DOE25'!L295)+('DOE25'!L314)</f>
        <v>266601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303987.5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244268.53</v>
      </c>
      <c r="D111" s="24" t="s">
        <v>289</v>
      </c>
      <c r="E111" s="95">
        <f>+('DOE25'!L278)+('DOE25'!L297)+('DOE25'!L316)</f>
        <v>122344.16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52683.159999999996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7531456.2399999993</v>
      </c>
      <c r="D114" s="86">
        <f>SUM(D108:D113)</f>
        <v>0</v>
      </c>
      <c r="E114" s="86">
        <f>SUM(E108:E113)</f>
        <v>453193.74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912491.58</v>
      </c>
      <c r="D117" s="24" t="s">
        <v>289</v>
      </c>
      <c r="E117" s="95">
        <f>+('DOE25'!L280)+('DOE25'!L299)+('DOE25'!L318)</f>
        <v>3264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280875.39</v>
      </c>
      <c r="D118" s="24" t="s">
        <v>289</v>
      </c>
      <c r="E118" s="95">
        <f>+('DOE25'!L281)+('DOE25'!L300)+('DOE25'!L319)</f>
        <v>10453.77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610564.62</v>
      </c>
      <c r="D119" s="24" t="s">
        <v>289</v>
      </c>
      <c r="E119" s="95">
        <f>+('DOE25'!L282)+('DOE25'!L301)+('DOE25'!L320)</f>
        <v>4968.3099999999995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765747.72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1462.5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914000.73999999987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498744.03</v>
      </c>
      <c r="D123" s="24" t="s">
        <v>289</v>
      </c>
      <c r="E123" s="95">
        <f>+('DOE25'!L286)+('DOE25'!L305)+('DOE25'!L324)</f>
        <v>9479.7000000000007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119015.14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344230.95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4102901.7199999993</v>
      </c>
      <c r="D127" s="86">
        <f>SUM(D117:D126)</f>
        <v>344230.95</v>
      </c>
      <c r="E127" s="86">
        <f>SUM(E117:E126)</f>
        <v>28165.780000000002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73535.149999999994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528766.66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29577.360000000001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83818</v>
      </c>
    </row>
    <row r="134" spans="1:7" x14ac:dyDescent="0.2">
      <c r="A134" t="s">
        <v>233</v>
      </c>
      <c r="B134" s="32" t="s">
        <v>234</v>
      </c>
      <c r="C134" s="95">
        <f>'DOE25'!L262</f>
        <v>30561.119999999999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2.82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56745.930000000008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-35.860000000007858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10900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656518.03</v>
      </c>
      <c r="D143" s="141">
        <f>SUM(D129:D142)</f>
        <v>0</v>
      </c>
      <c r="E143" s="141">
        <f>SUM(E129:E142)</f>
        <v>0</v>
      </c>
      <c r="F143" s="141">
        <f>SUM(F129:F142)</f>
        <v>73535.149999999994</v>
      </c>
      <c r="G143" s="141">
        <f>SUM(G129:G142)</f>
        <v>83818</v>
      </c>
    </row>
    <row r="144" spans="1:7" ht="12.75" thickTop="1" thickBot="1" x14ac:dyDescent="0.25">
      <c r="A144" s="33" t="s">
        <v>244</v>
      </c>
      <c r="C144" s="86">
        <f>(C114+C127+C143)</f>
        <v>12290875.989999998</v>
      </c>
      <c r="D144" s="86">
        <f>(D114+D127+D143)</f>
        <v>344230.95</v>
      </c>
      <c r="E144" s="86">
        <f>(E114+E127+E143)</f>
        <v>481359.52</v>
      </c>
      <c r="F144" s="86">
        <f>(F114+F127+F143)</f>
        <v>73535.149999999994</v>
      </c>
      <c r="G144" s="86">
        <f>(G114+G127+G143)</f>
        <v>83818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15</v>
      </c>
      <c r="D150" s="153">
        <f>'DOE25'!H489</f>
        <v>15</v>
      </c>
      <c r="E150" s="153">
        <f>'DOE25'!I489</f>
        <v>10</v>
      </c>
      <c r="F150" s="153">
        <f>'DOE25'!J489</f>
        <v>14</v>
      </c>
      <c r="G150" s="24" t="s">
        <v>289</v>
      </c>
    </row>
    <row r="151" spans="1:9" x14ac:dyDescent="0.2">
      <c r="A151" s="136" t="s">
        <v>28</v>
      </c>
      <c r="B151" s="152" t="str">
        <f>'DOE25'!F490</f>
        <v>02/92</v>
      </c>
      <c r="C151" s="152" t="str">
        <f>'DOE25'!G490</f>
        <v>08/21/03</v>
      </c>
      <c r="D151" s="152" t="str">
        <f>'DOE25'!H490</f>
        <v>7/6/2005</v>
      </c>
      <c r="E151" s="152" t="str">
        <f>'DOE25'!I490</f>
        <v>3/2/2009</v>
      </c>
      <c r="F151" s="152" t="str">
        <f>'DOE25'!J490</f>
        <v>11/2008</v>
      </c>
      <c r="G151" s="24" t="s">
        <v>289</v>
      </c>
    </row>
    <row r="152" spans="1:9" x14ac:dyDescent="0.2">
      <c r="A152" s="136" t="s">
        <v>29</v>
      </c>
      <c r="B152" s="152" t="str">
        <f>'DOE25'!F491</f>
        <v>8/2011</v>
      </c>
      <c r="C152" s="152" t="str">
        <f>'DOE25'!G491</f>
        <v>08/21/2018</v>
      </c>
      <c r="D152" s="152" t="str">
        <f>'DOE25'!H491</f>
        <v>7/5/2021</v>
      </c>
      <c r="E152" s="152" t="str">
        <f>'DOE25'!I491</f>
        <v>3/1/2019</v>
      </c>
      <c r="F152" s="152" t="str">
        <f>'DOE25'!J491</f>
        <v>11/2022</v>
      </c>
      <c r="G152" s="24" t="s">
        <v>289</v>
      </c>
    </row>
    <row r="153" spans="1:9" x14ac:dyDescent="0.2">
      <c r="A153" s="136" t="s">
        <v>30</v>
      </c>
      <c r="B153" s="137">
        <f>'DOE25'!F492</f>
        <v>2475000</v>
      </c>
      <c r="C153" s="137">
        <f>'DOE25'!G492</f>
        <v>500000</v>
      </c>
      <c r="D153" s="137">
        <f>'DOE25'!H492</f>
        <v>1694000</v>
      </c>
      <c r="E153" s="137">
        <f>'DOE25'!I492</f>
        <v>605000</v>
      </c>
      <c r="F153" s="137">
        <f>'DOE25'!J492</f>
        <v>1498000</v>
      </c>
      <c r="G153" s="24" t="s">
        <v>289</v>
      </c>
    </row>
    <row r="154" spans="1:9" x14ac:dyDescent="0.2">
      <c r="A154" s="136" t="s">
        <v>31</v>
      </c>
      <c r="B154" s="137">
        <f>'DOE25'!F493</f>
        <v>6.86</v>
      </c>
      <c r="C154" s="137">
        <f>'DOE25'!G493</f>
        <v>0</v>
      </c>
      <c r="D154" s="137">
        <f>'DOE25'!H493</f>
        <v>0</v>
      </c>
      <c r="E154" s="137">
        <f>'DOE25'!I493</f>
        <v>4.5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215000</v>
      </c>
      <c r="C155" s="137">
        <f>'DOE25'!G494</f>
        <v>266666.64</v>
      </c>
      <c r="D155" s="137">
        <f>'DOE25'!H494</f>
        <v>1129333.3</v>
      </c>
      <c r="E155" s="137">
        <f>'DOE25'!I494</f>
        <v>423500</v>
      </c>
      <c r="F155" s="137">
        <f>'DOE25'!J494</f>
        <v>1284000</v>
      </c>
      <c r="G155" s="138">
        <f>SUM(B155:F155)</f>
        <v>3318499.94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215000</v>
      </c>
      <c r="C157" s="137">
        <f>'DOE25'!G496</f>
        <v>33333.33</v>
      </c>
      <c r="D157" s="137">
        <f>'DOE25'!H496</f>
        <v>112933.33</v>
      </c>
      <c r="E157" s="137">
        <f>'DOE25'!I496</f>
        <v>60500</v>
      </c>
      <c r="F157" s="137">
        <f>'DOE25'!J496</f>
        <v>107000</v>
      </c>
      <c r="G157" s="138">
        <f t="shared" si="0"/>
        <v>528766.66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233333.31</v>
      </c>
      <c r="D158" s="137">
        <f>'DOE25'!H497</f>
        <v>1016399.9700000001</v>
      </c>
      <c r="E158" s="137">
        <f>'DOE25'!I497</f>
        <v>363000</v>
      </c>
      <c r="F158" s="137">
        <f>'DOE25'!J497</f>
        <v>1177000</v>
      </c>
      <c r="G158" s="138">
        <f t="shared" si="0"/>
        <v>2789733.2800000003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98099.51</v>
      </c>
      <c r="F159" s="137">
        <f>'DOE25'!J498</f>
        <v>0</v>
      </c>
      <c r="G159" s="138">
        <f t="shared" si="0"/>
        <v>98099.51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233333.31</v>
      </c>
      <c r="D160" s="137">
        <f>'DOE25'!H499</f>
        <v>1016399.9700000001</v>
      </c>
      <c r="E160" s="137">
        <f>'DOE25'!I499</f>
        <v>461099.51</v>
      </c>
      <c r="F160" s="137">
        <f>'DOE25'!J499</f>
        <v>1177000</v>
      </c>
      <c r="G160" s="138">
        <f t="shared" si="0"/>
        <v>2887832.79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33333.33</v>
      </c>
      <c r="D161" s="137">
        <f>'DOE25'!H500</f>
        <v>112933.33</v>
      </c>
      <c r="E161" s="137">
        <f>'DOE25'!I500</f>
        <v>60500</v>
      </c>
      <c r="F161" s="137">
        <f>'DOE25'!J500</f>
        <v>107000</v>
      </c>
      <c r="G161" s="138">
        <f t="shared" si="0"/>
        <v>313766.66000000003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19057.5</v>
      </c>
      <c r="F162" s="137">
        <f>'DOE25'!J501</f>
        <v>0</v>
      </c>
      <c r="G162" s="138">
        <f t="shared" si="0"/>
        <v>19057.5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33333.33</v>
      </c>
      <c r="D163" s="137">
        <f>'DOE25'!H502</f>
        <v>112933.33</v>
      </c>
      <c r="E163" s="137">
        <f>'DOE25'!I502</f>
        <v>79557.5</v>
      </c>
      <c r="F163" s="137">
        <f>'DOE25'!J502</f>
        <v>107000</v>
      </c>
      <c r="G163" s="138">
        <f t="shared" si="0"/>
        <v>332824.16000000003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HAVERHILL COOPERATIVE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13619</v>
      </c>
    </row>
    <row r="5" spans="1:4" x14ac:dyDescent="0.2">
      <c r="B5" t="s">
        <v>704</v>
      </c>
      <c r="C5" s="179">
        <f>IF('DOE25'!G664+'DOE25'!G669=0,0,ROUND('DOE25'!G671,0))</f>
        <v>13735</v>
      </c>
    </row>
    <row r="6" spans="1:4" x14ac:dyDescent="0.2">
      <c r="B6" t="s">
        <v>62</v>
      </c>
      <c r="C6" s="179">
        <f>IF('DOE25'!H664+'DOE25'!H669=0,0,ROUND('DOE25'!H671,0))</f>
        <v>17282</v>
      </c>
    </row>
    <row r="7" spans="1:4" x14ac:dyDescent="0.2">
      <c r="B7" t="s">
        <v>705</v>
      </c>
      <c r="C7" s="179">
        <f>IF('DOE25'!I664+'DOE25'!I669=0,0,ROUND('DOE25'!I671,0))</f>
        <v>14857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4501534</v>
      </c>
      <c r="D10" s="182">
        <f>ROUND((C10/$C$28)*100,1)</f>
        <v>36.4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2759833</v>
      </c>
      <c r="D11" s="182">
        <f>ROUND((C11/$C$28)*100,1)</f>
        <v>22.3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303988</v>
      </c>
      <c r="D12" s="182">
        <f>ROUND((C12/$C$28)*100,1)</f>
        <v>2.5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366613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915756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291329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734548</v>
      </c>
      <c r="D17" s="182">
        <f t="shared" si="0"/>
        <v>5.9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765748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1463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914001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508224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52683</v>
      </c>
      <c r="D24" s="182">
        <f t="shared" si="0"/>
        <v>0.4</v>
      </c>
    </row>
    <row r="25" spans="1:4" x14ac:dyDescent="0.2">
      <c r="A25">
        <v>5120</v>
      </c>
      <c r="B25" t="s">
        <v>720</v>
      </c>
      <c r="C25" s="179">
        <f>ROUND('DOE25'!L260+'DOE25'!L341,0)</f>
        <v>29577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10900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198808.37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12355005.369999999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73535</v>
      </c>
    </row>
    <row r="30" spans="1:4" x14ac:dyDescent="0.2">
      <c r="B30" s="187" t="s">
        <v>729</v>
      </c>
      <c r="C30" s="180">
        <f>SUM(C28:C29)</f>
        <v>12428540.369999999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528767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5187939</v>
      </c>
      <c r="D35" s="182">
        <f t="shared" ref="D35:D40" si="1">ROUND((C35/$C$41)*100,1)</f>
        <v>39.700000000000003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1780239.2000000002</v>
      </c>
      <c r="D36" s="182">
        <f t="shared" si="1"/>
        <v>13.6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4642341</v>
      </c>
      <c r="D37" s="182">
        <f t="shared" si="1"/>
        <v>35.5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583140</v>
      </c>
      <c r="D38" s="182">
        <f t="shared" si="1"/>
        <v>4.5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873443</v>
      </c>
      <c r="D39" s="182">
        <f t="shared" si="1"/>
        <v>6.7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13067102.199999999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23535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99" t="s">
        <v>767</v>
      </c>
      <c r="B2" s="300"/>
      <c r="C2" s="300"/>
      <c r="D2" s="300"/>
      <c r="E2" s="300"/>
      <c r="F2" s="293" t="str">
        <f>'DOE25'!A2</f>
        <v>HAVERHILL COOPERATIVE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15</v>
      </c>
      <c r="B4" s="271" t="s">
        <v>909</v>
      </c>
      <c r="C4" s="283" t="s">
        <v>910</v>
      </c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9"/>
      <c r="AO32" s="220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9"/>
      <c r="BB32" s="220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9"/>
      <c r="BO32" s="220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9"/>
      <c r="CB32" s="220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9"/>
      <c r="CO32" s="220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9"/>
      <c r="DB32" s="220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9"/>
      <c r="DO32" s="220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9"/>
      <c r="EB32" s="220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9"/>
      <c r="EO32" s="220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9"/>
      <c r="FB32" s="220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9"/>
      <c r="FO32" s="220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9"/>
      <c r="GB32" s="220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9"/>
      <c r="GO32" s="220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9"/>
      <c r="HB32" s="220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9"/>
      <c r="HO32" s="220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9"/>
      <c r="IB32" s="220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9"/>
      <c r="IO32" s="220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9"/>
      <c r="B33" s="220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9"/>
      <c r="B60" s="220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9"/>
      <c r="B61" s="220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9"/>
      <c r="B62" s="220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9"/>
      <c r="B63" s="220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9"/>
      <c r="B64" s="220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9"/>
      <c r="B65" s="220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9"/>
      <c r="B66" s="220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9"/>
      <c r="B67" s="220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9"/>
      <c r="B68" s="220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9"/>
      <c r="B69" s="220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1"/>
      <c r="B70" s="222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2"/>
      <c r="B74" s="212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2"/>
      <c r="B75" s="212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2"/>
      <c r="B76" s="212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2"/>
      <c r="B77" s="212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2"/>
      <c r="B78" s="212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2"/>
      <c r="B79" s="212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2"/>
      <c r="B80" s="212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2"/>
      <c r="B81" s="212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2"/>
      <c r="B82" s="212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2"/>
      <c r="B83" s="212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2"/>
      <c r="B84" s="212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2"/>
      <c r="B85" s="212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2"/>
      <c r="B86" s="212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2"/>
      <c r="B87" s="212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2"/>
      <c r="B88" s="212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2"/>
      <c r="B89" s="212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2"/>
      <c r="B90" s="212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2012-09-10T17:41:49Z</cp:lastPrinted>
  <dcterms:created xsi:type="dcterms:W3CDTF">1997-12-04T19:04:30Z</dcterms:created>
  <dcterms:modified xsi:type="dcterms:W3CDTF">2012-11-28T14:43:12Z</dcterms:modified>
</cp:coreProperties>
</file>