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39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6" i="1" l="1"/>
  <c r="K203" i="1" l="1"/>
  <c r="I520" i="1" l="1"/>
  <c r="F467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 s="1"/>
  <c r="L325" i="1"/>
  <c r="L332" i="1"/>
  <c r="L333" i="1"/>
  <c r="L334" i="1"/>
  <c r="L259" i="1"/>
  <c r="C130" i="2" s="1"/>
  <c r="L260" i="1"/>
  <c r="L340" i="1"/>
  <c r="E130" i="2" s="1"/>
  <c r="L341" i="1"/>
  <c r="E131" i="2" s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E55" i="2" s="1"/>
  <c r="I59" i="1"/>
  <c r="F55" i="2" s="1"/>
  <c r="F78" i="1"/>
  <c r="C56" i="2" s="1"/>
  <c r="F93" i="1"/>
  <c r="C57" i="2" s="1"/>
  <c r="F110" i="1"/>
  <c r="G110" i="1"/>
  <c r="G111" i="1" s="1"/>
  <c r="H78" i="1"/>
  <c r="E56" i="2" s="1"/>
  <c r="H93" i="1"/>
  <c r="E57" i="2" s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E84" i="2" s="1"/>
  <c r="H161" i="1"/>
  <c r="I146" i="1"/>
  <c r="F84" i="2" s="1"/>
  <c r="I161" i="1"/>
  <c r="L249" i="1"/>
  <c r="C112" i="2" s="1"/>
  <c r="L331" i="1"/>
  <c r="E112" i="2" s="1"/>
  <c r="L253" i="1"/>
  <c r="L267" i="1"/>
  <c r="C141" i="2" s="1"/>
  <c r="L268" i="1"/>
  <c r="C142" i="2" s="1"/>
  <c r="L348" i="1"/>
  <c r="E141" i="2" s="1"/>
  <c r="L349" i="1"/>
  <c r="E142" i="2" s="1"/>
  <c r="I664" i="1"/>
  <c r="I669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D114" i="2"/>
  <c r="F114" i="2"/>
  <c r="G114" i="2"/>
  <c r="F127" i="2"/>
  <c r="G127" i="2"/>
  <c r="C129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G623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F459" i="1"/>
  <c r="G459" i="1"/>
  <c r="H459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G643" i="1"/>
  <c r="G649" i="1"/>
  <c r="H649" i="1"/>
  <c r="G651" i="1"/>
  <c r="H651" i="1"/>
  <c r="G652" i="1"/>
  <c r="H652" i="1"/>
  <c r="G653" i="1"/>
  <c r="H653" i="1"/>
  <c r="H654" i="1"/>
  <c r="C26" i="10"/>
  <c r="G158" i="2"/>
  <c r="K337" i="1" l="1"/>
  <c r="K351" i="1" s="1"/>
  <c r="F77" i="2"/>
  <c r="F80" i="2" s="1"/>
  <c r="H407" i="1"/>
  <c r="H643" i="1" s="1"/>
  <c r="J643" i="1" s="1"/>
  <c r="G407" i="1"/>
  <c r="H644" i="1" s="1"/>
  <c r="L255" i="1"/>
  <c r="G155" i="2"/>
  <c r="E110" i="2"/>
  <c r="E108" i="2"/>
  <c r="D18" i="13"/>
  <c r="C18" i="13" s="1"/>
  <c r="C124" i="2"/>
  <c r="G163" i="2"/>
  <c r="G162" i="2"/>
  <c r="E113" i="2"/>
  <c r="C120" i="2"/>
  <c r="D12" i="13"/>
  <c r="C12" i="13" s="1"/>
  <c r="L543" i="1"/>
  <c r="L350" i="1"/>
  <c r="L533" i="1"/>
  <c r="I256" i="1"/>
  <c r="I270" i="1" s="1"/>
  <c r="G161" i="2"/>
  <c r="G160" i="2"/>
  <c r="G159" i="2"/>
  <c r="G156" i="2"/>
  <c r="A40" i="12"/>
  <c r="L327" i="1"/>
  <c r="D19" i="13"/>
  <c r="C19" i="13" s="1"/>
  <c r="C113" i="2"/>
  <c r="D17" i="13"/>
  <c r="C17" i="13" s="1"/>
  <c r="C121" i="2"/>
  <c r="L613" i="1"/>
  <c r="L538" i="1"/>
  <c r="I451" i="1"/>
  <c r="L381" i="1"/>
  <c r="G635" i="1" s="1"/>
  <c r="J337" i="1"/>
  <c r="J351" i="1" s="1"/>
  <c r="L528" i="1"/>
  <c r="L523" i="1"/>
  <c r="H460" i="1"/>
  <c r="H640" i="1" s="1"/>
  <c r="J640" i="1" s="1"/>
  <c r="G661" i="1"/>
  <c r="G157" i="2"/>
  <c r="I459" i="1"/>
  <c r="I460" i="1" s="1"/>
  <c r="H641" i="1" s="1"/>
  <c r="I445" i="1"/>
  <c r="G641" i="1" s="1"/>
  <c r="H433" i="1"/>
  <c r="D126" i="2"/>
  <c r="D127" i="2" s="1"/>
  <c r="D144" i="2" s="1"/>
  <c r="L228" i="1"/>
  <c r="F660" i="1"/>
  <c r="D29" i="13"/>
  <c r="C29" i="13" s="1"/>
  <c r="I368" i="1"/>
  <c r="H633" i="1" s="1"/>
  <c r="J633" i="1" s="1"/>
  <c r="H660" i="1"/>
  <c r="K502" i="1"/>
  <c r="F61" i="2"/>
  <c r="F62" i="2" s="1"/>
  <c r="E123" i="2"/>
  <c r="E121" i="2"/>
  <c r="E119" i="2"/>
  <c r="E117" i="2"/>
  <c r="E124" i="2"/>
  <c r="E122" i="2"/>
  <c r="E120" i="2"/>
  <c r="E118" i="2"/>
  <c r="E111" i="2"/>
  <c r="C19" i="10"/>
  <c r="L289" i="1"/>
  <c r="L269" i="1"/>
  <c r="C25" i="10"/>
  <c r="C32" i="10"/>
  <c r="C131" i="2"/>
  <c r="A31" i="12"/>
  <c r="C123" i="2"/>
  <c r="C110" i="2"/>
  <c r="C108" i="2"/>
  <c r="C119" i="2"/>
  <c r="F256" i="1"/>
  <c r="F270" i="1" s="1"/>
  <c r="D14" i="13"/>
  <c r="C14" i="13" s="1"/>
  <c r="C111" i="2"/>
  <c r="C109" i="2"/>
  <c r="E13" i="13"/>
  <c r="C13" i="13" s="1"/>
  <c r="D6" i="13"/>
  <c r="C6" i="13" s="1"/>
  <c r="D7" i="13"/>
  <c r="C7" i="13" s="1"/>
  <c r="C118" i="2"/>
  <c r="G648" i="1"/>
  <c r="J648" i="1" s="1"/>
  <c r="H646" i="1"/>
  <c r="D15" i="13"/>
  <c r="C15" i="13" s="1"/>
  <c r="C21" i="10"/>
  <c r="C122" i="2"/>
  <c r="F661" i="1"/>
  <c r="I661" i="1" s="1"/>
  <c r="E8" i="13"/>
  <c r="C8" i="13" s="1"/>
  <c r="C17" i="10"/>
  <c r="C117" i="2"/>
  <c r="C15" i="10"/>
  <c r="C12" i="10"/>
  <c r="C10" i="10"/>
  <c r="G460" i="1"/>
  <c r="H639" i="1" s="1"/>
  <c r="J639" i="1" s="1"/>
  <c r="J651" i="1"/>
  <c r="J649" i="1"/>
  <c r="F102" i="2"/>
  <c r="G660" i="1"/>
  <c r="G102" i="2"/>
  <c r="G61" i="2"/>
  <c r="G62" i="2" s="1"/>
  <c r="J653" i="1"/>
  <c r="F191" i="1"/>
  <c r="J111" i="1"/>
  <c r="E102" i="2"/>
  <c r="D90" i="2"/>
  <c r="C102" i="2"/>
  <c r="C77" i="2"/>
  <c r="C69" i="2"/>
  <c r="F90" i="2"/>
  <c r="J652" i="1"/>
  <c r="D102" i="2"/>
  <c r="D61" i="2"/>
  <c r="D62" i="2" s="1"/>
  <c r="C61" i="2"/>
  <c r="C62" i="2" s="1"/>
  <c r="F460" i="1"/>
  <c r="H638" i="1" s="1"/>
  <c r="J638" i="1" s="1"/>
  <c r="J433" i="1"/>
  <c r="F433" i="1"/>
  <c r="L406" i="1"/>
  <c r="C139" i="2" s="1"/>
  <c r="L361" i="1"/>
  <c r="I337" i="1"/>
  <c r="I351" i="1" s="1"/>
  <c r="G256" i="1"/>
  <c r="G270" i="1" s="1"/>
  <c r="K256" i="1"/>
  <c r="K270" i="1" s="1"/>
  <c r="E143" i="2"/>
  <c r="F129" i="2"/>
  <c r="F143" i="2" s="1"/>
  <c r="F144" i="2" s="1"/>
  <c r="C90" i="2"/>
  <c r="E61" i="2"/>
  <c r="E62" i="2" s="1"/>
  <c r="G31" i="13"/>
  <c r="G33" i="13" s="1"/>
  <c r="C20" i="10"/>
  <c r="C18" i="10"/>
  <c r="C16" i="10"/>
  <c r="L246" i="1"/>
  <c r="H659" i="1" s="1"/>
  <c r="C13" i="10"/>
  <c r="C11" i="10"/>
  <c r="F18" i="2"/>
  <c r="D18" i="2"/>
  <c r="G644" i="1"/>
  <c r="F544" i="1"/>
  <c r="K499" i="1"/>
  <c r="I433" i="1"/>
  <c r="G433" i="1"/>
  <c r="I191" i="1"/>
  <c r="K433" i="1"/>
  <c r="G133" i="2" s="1"/>
  <c r="G143" i="2" s="1"/>
  <c r="G144" i="2" s="1"/>
  <c r="L210" i="1"/>
  <c r="C24" i="10"/>
  <c r="G168" i="1"/>
  <c r="I139" i="1"/>
  <c r="G139" i="1"/>
  <c r="F139" i="1"/>
  <c r="I662" i="1"/>
  <c r="A22" i="12"/>
  <c r="F31" i="13"/>
  <c r="G570" i="1"/>
  <c r="E90" i="2"/>
  <c r="D31" i="2"/>
  <c r="D49" i="2"/>
  <c r="F49" i="2"/>
  <c r="F31" i="2"/>
  <c r="I51" i="1"/>
  <c r="H619" i="1" s="1"/>
  <c r="J619" i="1" s="1"/>
  <c r="E49" i="2"/>
  <c r="E31" i="2"/>
  <c r="H51" i="1"/>
  <c r="H618" i="1" s="1"/>
  <c r="J618" i="1" s="1"/>
  <c r="E18" i="2"/>
  <c r="G51" i="1"/>
  <c r="H617" i="1" s="1"/>
  <c r="J617" i="1" s="1"/>
  <c r="C31" i="2"/>
  <c r="F51" i="1"/>
  <c r="H616" i="1" s="1"/>
  <c r="J616" i="1" s="1"/>
  <c r="C18" i="2"/>
  <c r="E77" i="2"/>
  <c r="E80" i="2" s="1"/>
  <c r="L426" i="1"/>
  <c r="J256" i="1"/>
  <c r="J270" i="1" s="1"/>
  <c r="H111" i="1"/>
  <c r="F111" i="1"/>
  <c r="K604" i="1"/>
  <c r="G647" i="1" s="1"/>
  <c r="J570" i="1"/>
  <c r="K570" i="1"/>
  <c r="L432" i="1"/>
  <c r="L418" i="1"/>
  <c r="D80" i="2"/>
  <c r="I168" i="1"/>
  <c r="H168" i="1"/>
  <c r="G551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551" i="1"/>
  <c r="H551" i="1"/>
  <c r="C29" i="10"/>
  <c r="H139" i="1"/>
  <c r="L400" i="1"/>
  <c r="C138" i="2" s="1"/>
  <c r="L392" i="1"/>
  <c r="A13" i="12"/>
  <c r="F22" i="13"/>
  <c r="H25" i="13"/>
  <c r="J650" i="1"/>
  <c r="H570" i="1"/>
  <c r="L559" i="1"/>
  <c r="J544" i="1"/>
  <c r="L336" i="1"/>
  <c r="H337" i="1"/>
  <c r="H351" i="1" s="1"/>
  <c r="F337" i="1"/>
  <c r="F351" i="1" s="1"/>
  <c r="G191" i="1"/>
  <c r="H191" i="1"/>
  <c r="F551" i="1"/>
  <c r="C35" i="10"/>
  <c r="L308" i="1"/>
  <c r="D5" i="13"/>
  <c r="E16" i="13"/>
  <c r="C49" i="2"/>
  <c r="J654" i="1"/>
  <c r="L569" i="1"/>
  <c r="I570" i="1"/>
  <c r="I544" i="1"/>
  <c r="J635" i="1"/>
  <c r="G36" i="2"/>
  <c r="G49" i="2" s="1"/>
  <c r="J50" i="1"/>
  <c r="L564" i="1"/>
  <c r="G544" i="1"/>
  <c r="H544" i="1"/>
  <c r="K550" i="1"/>
  <c r="J644" i="1" l="1"/>
  <c r="E127" i="2"/>
  <c r="E114" i="2"/>
  <c r="D50" i="2"/>
  <c r="G50" i="2"/>
  <c r="C114" i="2"/>
  <c r="L544" i="1"/>
  <c r="K551" i="1"/>
  <c r="J641" i="1"/>
  <c r="I660" i="1"/>
  <c r="H663" i="1"/>
  <c r="H666" i="1" s="1"/>
  <c r="F659" i="1"/>
  <c r="F663" i="1" s="1"/>
  <c r="F671" i="1" s="1"/>
  <c r="C4" i="10" s="1"/>
  <c r="L570" i="1"/>
  <c r="H647" i="1"/>
  <c r="J647" i="1" s="1"/>
  <c r="J646" i="1"/>
  <c r="C127" i="2"/>
  <c r="L433" i="1"/>
  <c r="G637" i="1" s="1"/>
  <c r="J637" i="1" s="1"/>
  <c r="L256" i="1"/>
  <c r="L270" i="1" s="1"/>
  <c r="G631" i="1" s="1"/>
  <c r="J631" i="1" s="1"/>
  <c r="G103" i="2"/>
  <c r="G192" i="1"/>
  <c r="G627" i="1" s="1"/>
  <c r="J627" i="1" s="1"/>
  <c r="J192" i="1"/>
  <c r="G630" i="1" s="1"/>
  <c r="J630" i="1" s="1"/>
  <c r="F103" i="2"/>
  <c r="E103" i="2"/>
  <c r="C80" i="2"/>
  <c r="C103" i="2" s="1"/>
  <c r="C38" i="10"/>
  <c r="I192" i="1"/>
  <c r="G629" i="1" s="1"/>
  <c r="J629" i="1" s="1"/>
  <c r="C39" i="10"/>
  <c r="H192" i="1"/>
  <c r="G628" i="1" s="1"/>
  <c r="J628" i="1" s="1"/>
  <c r="D103" i="2"/>
  <c r="C36" i="10"/>
  <c r="F192" i="1"/>
  <c r="G626" i="1" s="1"/>
  <c r="J626" i="1" s="1"/>
  <c r="C27" i="10"/>
  <c r="C28" i="10" s="1"/>
  <c r="G634" i="1"/>
  <c r="J634" i="1" s="1"/>
  <c r="F50" i="2"/>
  <c r="E50" i="2"/>
  <c r="C50" i="2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25" i="1"/>
  <c r="J51" i="1"/>
  <c r="H620" i="1" s="1"/>
  <c r="J620" i="1" s="1"/>
  <c r="E144" i="2" l="1"/>
  <c r="H671" i="1"/>
  <c r="C144" i="2"/>
  <c r="F666" i="1"/>
  <c r="G645" i="1"/>
  <c r="C41" i="10"/>
  <c r="D39" i="10" s="1"/>
  <c r="D11" i="10"/>
  <c r="D15" i="10"/>
  <c r="D22" i="10"/>
  <c r="D17" i="10"/>
  <c r="D24" i="10"/>
  <c r="D26" i="10"/>
  <c r="D18" i="10"/>
  <c r="D13" i="10"/>
  <c r="D20" i="10"/>
  <c r="D10" i="10"/>
  <c r="D25" i="10"/>
  <c r="D23" i="10"/>
  <c r="C30" i="10"/>
  <c r="D27" i="10"/>
  <c r="D19" i="10"/>
  <c r="D16" i="10"/>
  <c r="D12" i="10"/>
  <c r="D21" i="10"/>
  <c r="G636" i="1"/>
  <c r="J636" i="1" s="1"/>
  <c r="H645" i="1"/>
  <c r="D33" i="13"/>
  <c r="D36" i="13" s="1"/>
  <c r="G663" i="1"/>
  <c r="I659" i="1"/>
  <c r="I663" i="1" s="1"/>
  <c r="J625" i="1"/>
  <c r="H655" i="1" l="1"/>
  <c r="J645" i="1"/>
  <c r="D40" i="10"/>
  <c r="D35" i="10"/>
  <c r="D36" i="10"/>
  <c r="D37" i="10"/>
  <c r="D38" i="10"/>
  <c r="D28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<sst xmlns="http://schemas.openxmlformats.org/spreadsheetml/2006/main" count="3945" uniqueCount="912">
  <si>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</si>
  <si>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</si>
  <si>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</si>
  <si>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</si>
  <si>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</si>
  <si>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</si>
  <si>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</si>
  <si>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</si>
  <si>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</si>
  <si>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</si>
  <si>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</si>
  <si>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</si>
  <si>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</si>
  <si>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</si>
  <si>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</si>
  <si>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</si>
  <si>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</si>
  <si>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</si>
  <si>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</si>
  <si>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</si>
  <si>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</si>
  <si>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</si>
  <si>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</si>
  <si>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</si>
  <si>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</si>
  <si>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</si>
  <si>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</si>
  <si>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</si>
  <si>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</si>
  <si>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</si>
  <si>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</si>
  <si>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</si>
  <si>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</si>
  <si>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</si>
  <si>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</si>
  <si>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</si>
  <si>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</si>
  <si>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</si>
  <si>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</si>
  <si>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</si>
  <si>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</si>
  <si>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</si>
  <si>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</si>
  <si>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</si>
  <si>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</si>
  <si>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</si>
  <si>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</si>
  <si>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</si>
  <si>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</si>
  <si>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</si>
  <si>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</si>
  <si>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</si>
  <si>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</si>
  <si>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</si>
  <si>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</si>
  <si>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</si>
  <si>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</si>
  <si>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</si>
  <si>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</si>
  <si>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</si>
  <si>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</si>
  <si>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</si>
  <si>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</si>
  <si>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</si>
  <si>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</si>
  <si>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</si>
  <si>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</si>
  <si>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</si>
  <si>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</si>
  <si>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</si>
  <si>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</si>
  <si>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</si>
  <si>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</si>
  <si>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</si>
  <si>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</si>
  <si>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</si>
  <si>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</si>
  <si>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</si>
  <si>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</si>
  <si>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</si>
  <si>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</si>
  <si>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</si>
  <si>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</si>
  <si>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</si>
  <si>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</si>
  <si>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</si>
  <si>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</si>
  <si>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</si>
  <si>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</si>
  <si>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</si>
  <si>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</si>
  <si>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</si>
  <si>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</si>
  <si>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</si>
  <si>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</si>
  <si>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</si>
  <si>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</si>
  <si>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</si>
  <si>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</si>
  <si>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</si>
  <si>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</si>
  <si>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</si>
  <si>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</si>
  <si>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</si>
  <si>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</si>
  <si>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</si>
  <si>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</si>
  <si>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</si>
  <si>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</si>
  <si>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</si>
  <si>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</si>
  <si>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</si>
  <si>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</si>
  <si>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</si>
  <si>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</si>
  <si>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</si>
  <si>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</si>
  <si>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</si>
  <si>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</si>
  <si>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</si>
  <si>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</si>
  <si>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</si>
  <si>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</si>
  <si>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</si>
  <si>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</si>
  <si>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</si>
  <si>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</si>
  <si>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</si>
  <si>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</si>
  <si>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</si>
  <si>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</si>
  <si>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</si>
  <si>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</si>
  <si>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</si>
  <si>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</si>
  <si>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</si>
  <si>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</si>
  <si>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</si>
  <si>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</si>
  <si>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</si>
  <si>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</si>
  <si>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</si>
  <si>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</si>
  <si>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</si>
  <si>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</si>
  <si>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</si>
  <si>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</si>
  <si>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</si>
  <si>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</si>
  <si>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</si>
  <si>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</si>
  <si>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</si>
  <si>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</si>
  <si>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</si>
  <si>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</si>
  <si>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</si>
  <si>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</si>
  <si>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</si>
  <si>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</si>
  <si>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</si>
  <si>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</si>
  <si>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</si>
  <si>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</si>
  <si>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</si>
  <si>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</si>
  <si>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</si>
  <si>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</si>
  <si>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</si>
  <si>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</si>
  <si>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</si>
  <si>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</si>
  <si>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</si>
  <si>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</si>
  <si>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</si>
  <si>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</si>
  <si>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</si>
  <si>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</si>
  <si>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</si>
  <si>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</si>
  <si>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</si>
  <si>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</si>
  <si>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</si>
  <si>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</si>
  <si>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</si>
  <si>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</si>
  <si>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</si>
  <si>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</si>
  <si>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</si>
  <si>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</si>
  <si>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</si>
  <si>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</si>
  <si>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</si>
  <si>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</si>
  <si>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</si>
  <si>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</si>
  <si>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</si>
  <si>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</si>
  <si>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</si>
  <si>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</si>
  <si>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</si>
  <si>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</si>
  <si>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</si>
  <si>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</si>
  <si>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</si>
  <si>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</si>
  <si>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</si>
  <si>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</si>
  <si>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</si>
  <si>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</si>
  <si>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</si>
  <si>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</si>
  <si>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</si>
  <si>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</si>
  <si>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</si>
  <si>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</si>
  <si>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</si>
  <si>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</si>
  <si>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</si>
  <si>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</si>
  <si>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</si>
  <si>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</si>
  <si>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</si>
  <si>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</si>
  <si>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</si>
  <si>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</si>
  <si>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</si>
  <si>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</si>
  <si>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</si>
  <si>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</si>
  <si>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</si>
  <si>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</si>
  <si>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</si>
  <si>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</si>
  <si>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</si>
  <si>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</si>
  <si>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</si>
  <si>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</si>
  <si>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</si>
  <si>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</si>
  <si>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</si>
  <si>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</si>
  <si>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</si>
  <si>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</si>
  <si>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</si>
  <si>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</si>
  <si>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</si>
  <si>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</si>
  <si>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</si>
  <si>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</si>
  <si>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</si>
  <si>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</si>
  <si>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</si>
  <si>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</si>
  <si>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</si>
  <si>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</si>
  <si>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</si>
  <si>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</si>
  <si>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</si>
  <si>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</si>
  <si>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</si>
  <si>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</si>
  <si>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</si>
  <si>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</si>
  <si>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</si>
  <si>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</si>
  <si>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</si>
  <si>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</si>
  <si>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</si>
  <si>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</si>
  <si>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</si>
  <si>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</si>
  <si>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</si>
  <si>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</si>
  <si>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</si>
  <si>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</si>
  <si>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</si>
  <si>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</si>
  <si>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</si>
  <si>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</si>
  <si>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</si>
  <si>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</si>
  <si>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</si>
  <si>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</si>
  <si>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</si>
  <si>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</si>
  <si>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</si>
  <si>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</si>
  <si>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</si>
  <si>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</si>
  <si>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</si>
  <si>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</si>
  <si>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</si>
  <si>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</si>
  <si>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</si>
  <si>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</si>
  <si>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</si>
  <si>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</si>
  <si>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</si>
  <si>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</si>
  <si>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</si>
  <si>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</si>
  <si>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</si>
  <si>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</si>
  <si>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</si>
  <si>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</si>
  <si>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</si>
  <si>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</si>
  <si>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</si>
  <si>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</si>
  <si>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</si>
  <si>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</si>
  <si>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</si>
  <si>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</si>
  <si>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</si>
  <si>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</si>
  <si>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</si>
  <si>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</si>
  <si>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</si>
  <si>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</si>
  <si>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</si>
  <si>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</si>
  <si>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</si>
  <si>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</si>
  <si>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</si>
  <si>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</si>
  <si>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</si>
  <si>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</si>
  <si>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</si>
  <si>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</si>
  <si>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</si>
  <si>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</si>
  <si>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</si>
  <si>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</si>
  <si>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</si>
  <si>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</si>
  <si>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</si>
  <si>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</si>
  <si>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</si>
  <si>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</si>
  <si>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</si>
  <si>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</si>
  <si>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</si>
  <si>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</si>
  <si>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</si>
  <si>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</si>
  <si>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</si>
  <si>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</si>
  <si>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</si>
  <si>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</si>
  <si>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</si>
  <si>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</si>
  <si>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</si>
  <si>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</si>
  <si>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</si>
  <si>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</si>
  <si>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</si>
  <si>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</si>
  <si>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</si>
  <si>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</si>
  <si>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</si>
  <si>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</si>
  <si>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</si>
  <si>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</si>
  <si>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</si>
  <si>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</si>
  <si>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</si>
  <si>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</si>
  <si>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</si>
  <si>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</si>
  <si>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</si>
  <si>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</si>
  <si>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</si>
  <si>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</si>
  <si>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</si>
  <si>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</si>
  <si>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</si>
  <si>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</si>
  <si>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</si>
  <si>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</si>
  <si>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</si>
  <si>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</si>
  <si>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</si>
  <si>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</si>
  <si>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</si>
  <si>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</si>
  <si>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</si>
  <si>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</si>
  <si>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</si>
  <si>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</si>
  <si>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</si>
  <si>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</si>
  <si>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</si>
  <si>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</si>
  <si>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</si>
  <si>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</si>
  <si>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</si>
  <si>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</si>
  <si>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</si>
  <si>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</si>
  <si>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</si>
  <si>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</si>
  <si>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</si>
  <si>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</si>
  <si>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</si>
  <si>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</si>
  <si>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</si>
  <si>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</si>
  <si>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</si>
  <si>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</si>
  <si>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</si>
  <si>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</si>
  <si>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</si>
  <si>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</si>
  <si>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</si>
  <si>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</si>
  <si>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</si>
  <si>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</si>
  <si>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</si>
  <si>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</si>
  <si>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</si>
  <si>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</si>
  <si>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</si>
  <si>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</si>
  <si>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</si>
  <si>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</si>
  <si>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</si>
  <si>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</si>
  <si>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</si>
  <si>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</si>
  <si>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</si>
  <si>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</si>
  <si>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</si>
  <si>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</si>
  <si>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</si>
  <si>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</si>
  <si>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</si>
  <si>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</si>
  <si>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</si>
  <si>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</si>
  <si>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</si>
  <si>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</si>
  <si>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</si>
  <si>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</si>
  <si>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</si>
  <si>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</si>
  <si>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</si>
  <si>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</si>
  <si>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</si>
  <si>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</si>
  <si>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</si>
  <si>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</si>
  <si>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</si>
  <si>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</si>
  <si>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</si>
  <si>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</si>
  <si>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</si>
  <si>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</si>
  <si>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</si>
  <si>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</si>
  <si>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</si>
  <si>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</si>
  <si>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</si>
  <si>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</si>
  <si>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</si>
  <si>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</si>
  <si>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</si>
  <si>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</si>
  <si>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</si>
  <si>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</si>
  <si>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</si>
  <si>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</si>
  <si>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</si>
  <si>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</si>
  <si>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</si>
  <si>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</si>
  <si>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</si>
  <si>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</si>
  <si>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</si>
  <si>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</si>
  <si>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</si>
  <si>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</si>
  <si>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</si>
  <si>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</si>
  <si>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</si>
  <si>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</si>
  <si>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</si>
  <si>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</si>
  <si>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</si>
  <si>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</si>
  <si>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</si>
  <si>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</si>
  <si>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</si>
  <si>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</si>
  <si>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</si>
  <si>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</si>
  <si>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</si>
  <si>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</si>
  <si>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</si>
  <si>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</si>
  <si>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</si>
  <si>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</si>
  <si>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</si>
  <si>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</si>
  <si>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</si>
  <si>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</si>
  <si>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</si>
  <si>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</si>
  <si>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</si>
  <si>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</si>
  <si>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</si>
  <si>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</si>
  <si>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</si>
  <si>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</si>
  <si>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</si>
  <si>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</si>
  <si>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</si>
  <si>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</si>
  <si>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</si>
  <si>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</si>
  <si>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</si>
  <si>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</si>
  <si>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</si>
  <si>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</si>
  <si>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</si>
  <si>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</si>
  <si>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</si>
  <si>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</si>
  <si>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</si>
  <si>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</si>
  <si>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</si>
  <si>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</si>
  <si>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</si>
  <si>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</si>
  <si>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</si>
  <si>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</si>
  <si>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</si>
  <si>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</si>
  <si>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</si>
  <si>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</si>
  <si>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</si>
  <si>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</si>
  <si>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</si>
  <si>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</si>
  <si>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</si>
  <si>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</si>
  <si>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</si>
  <si>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</si>
  <si>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</si>
  <si>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</si>
  <si>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</si>
  <si>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</si>
  <si>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</si>
  <si>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</si>
  <si>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</si>
  <si>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</si>
  <si>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</si>
  <si>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</si>
  <si>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</si>
  <si>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</si>
  <si>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</si>
  <si>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</si>
  <si>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</si>
  <si>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</si>
  <si>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</si>
  <si>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</si>
  <si>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</si>
  <si>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</si>
  <si>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</si>
  <si>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</si>
  <si>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</si>
  <si>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</si>
  <si>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</si>
  <si>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</si>
  <si>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</si>
  <si>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</si>
  <si>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</si>
  <si>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</si>
  <si>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</si>
  <si>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</si>
  <si>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</si>
  <si>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</si>
  <si>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</si>
  <si>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</si>
  <si>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</si>
  <si>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</si>
  <si>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</si>
  <si>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</si>
  <si>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</si>
  <si>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</si>
  <si>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</si>
  <si>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</si>
  <si>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</si>
  <si>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</si>
  <si>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</si>
  <si>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</si>
  <si>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</si>
  <si>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</si>
  <si>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</si>
  <si>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</si>
  <si>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</si>
  <si>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</si>
  <si>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</si>
  <si>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</si>
  <si>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</si>
  <si>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</si>
  <si>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</si>
  <si>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</si>
  <si>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</si>
  <si>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</si>
  <si>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</si>
  <si>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</si>
  <si>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</si>
  <si>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</si>
  <si>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</si>
  <si>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</si>
  <si>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</si>
  <si>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</si>
  <si>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</si>
  <si>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</si>
  <si>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</si>
  <si>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</si>
  <si>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</si>
  <si>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</si>
  <si>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</si>
  <si>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</si>
  <si>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</si>
  <si>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</si>
  <si>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</si>
  <si>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</si>
  <si>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</si>
  <si>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</si>
  <si>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</si>
  <si>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</si>
  <si>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</si>
  <si>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</si>
  <si>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</si>
  <si>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</si>
  <si>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</si>
  <si>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</si>
  <si>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</si>
  <si>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</si>
  <si>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</si>
  <si>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</si>
  <si>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</si>
  <si>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</si>
  <si>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</si>
  <si>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</si>
  <si>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</si>
  <si>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</si>
  <si>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</si>
  <si>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</si>
  <si>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</si>
  <si>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</si>
  <si>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</si>
  <si>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</si>
  <si>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</si>
  <si>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</si>
  <si>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</si>
  <si>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</si>
  <si>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</si>
  <si>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</si>
  <si>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</si>
  <si>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</si>
  <si>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</si>
  <si>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</si>
  <si>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</si>
  <si>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</si>
  <si>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</si>
  <si>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</si>
  <si>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</si>
  <si>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</si>
  <si>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</si>
  <si>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</si>
  <si>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</si>
  <si>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</si>
  <si>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</si>
  <si>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</si>
  <si>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</si>
  <si>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</si>
  <si>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</si>
  <si>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</si>
  <si>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</si>
  <si>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</si>
  <si>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</si>
  <si>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</si>
  <si>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</si>
  <si>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</si>
  <si>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</si>
  <si>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</si>
  <si>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</si>
  <si>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</si>
  <si>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</si>
  <si>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</si>
  <si>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</si>
  <si>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</si>
  <si>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</si>
  <si>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</si>
  <si>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</si>
  <si>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</si>
  <si>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</si>
  <si>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</si>
  <si>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</si>
  <si>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</si>
  <si>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</si>
  <si>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</si>
  <si>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</si>
  <si>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</si>
  <si>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</si>
  <si>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</si>
  <si>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</si>
  <si>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</si>
  <si>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</si>
  <si>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</si>
  <si>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</si>
  <si>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</si>
  <si>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</si>
  <si>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</si>
  <si>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</si>
  <si>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</si>
  <si>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</si>
  <si>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</si>
  <si>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</si>
  <si>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</si>
  <si>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</si>
  <si>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</si>
  <si>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</si>
  <si>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</si>
  <si>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</si>
  <si>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</si>
  <si>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</si>
  <si>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</si>
  <si>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</si>
  <si>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</si>
  <si>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</si>
  <si>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</si>
  <si>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</si>
  <si>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</si>
  <si>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</si>
  <si>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</si>
  <si>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</si>
  <si>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</si>
  <si>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</si>
  <si>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</si>
  <si>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</si>
  <si>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</si>
  <si>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</si>
  <si>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</si>
  <si>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</si>
  <si>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</si>
  <si>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</si>
  <si>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</si>
  <si>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</si>
  <si>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</si>
  <si>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</si>
  <si>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</si>
  <si>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</si>
  <si>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</si>
  <si>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</si>
  <si>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</si>
  <si>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</si>
  <si>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</si>
  <si>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</si>
  <si>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</si>
  <si>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</si>
  <si>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</si>
  <si>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</si>
  <si>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</si>
  <si>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</si>
  <si>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</si>
  <si>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</si>
  <si>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</si>
  <si>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</si>
  <si>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</si>
  <si>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</si>
  <si>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</si>
  <si>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</si>
  <si>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</si>
  <si>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</si>
  <si>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</si>
  <si>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</si>
  <si>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</si>
  <si>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</si>
  <si>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</si>
  <si>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</si>
  <si>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</si>
  <si>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</si>
  <si>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</si>
  <si>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</si>
  <si>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</si>
  <si>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</si>
  <si>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</si>
  <si>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</si>
  <si>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</si>
  <si>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</si>
  <si>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</si>
  <si>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</si>
  <si>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</si>
  <si>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</si>
  <si>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</si>
  <si>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</si>
  <si>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</si>
  <si>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</si>
  <si>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</si>
  <si>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</si>
  <si>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</si>
  <si>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</si>
  <si>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</si>
  <si>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</si>
  <si>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</si>
  <si>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</si>
  <si>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</si>
  <si>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</si>
  <si>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</si>
  <si>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</si>
  <si>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</si>
  <si>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</si>
  <si>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</si>
  <si>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</si>
  <si>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</si>
  <si>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</si>
  <si>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</si>
  <si>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</si>
  <si>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</si>
  <si>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</si>
  <si>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</si>
  <si>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</si>
  <si>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</si>
  <si>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</si>
  <si>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</si>
  <si>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</si>
  <si>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</si>
  <si>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</si>
  <si>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</si>
  <si>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</si>
  <si>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</si>
  <si>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</si>
  <si>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</si>
  <si>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</si>
  <si>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</si>
  <si>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</si>
  <si>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</si>
  <si>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</si>
  <si>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</si>
  <si>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</si>
  <si>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</si>
  <si>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</si>
  <si>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</si>
  <si>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</si>
  <si>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</si>
  <si>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</si>
  <si>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</si>
  <si>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</si>
  <si>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</si>
  <si>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</si>
  <si>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</si>
  <si>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</si>
  <si>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</si>
  <si>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</si>
  <si>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</si>
  <si>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</si>
  <si>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</si>
  <si>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</si>
  <si>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</si>
  <si>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</si>
  <si>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</si>
  <si>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</si>
  <si>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</si>
  <si>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</si>
  <si>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</si>
  <si>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</si>
  <si>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</si>
  <si>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</si>
  <si>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</si>
  <si>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</si>
  <si>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</si>
  <si>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</si>
  <si>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</si>
  <si>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</si>
  <si>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</si>
  <si>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</si>
  <si>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</si>
  <si>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</si>
  <si>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</si>
  <si>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</si>
  <si>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</si>
  <si>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</si>
  <si>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</si>
  <si>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</si>
  <si>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</si>
  <si>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</si>
  <si>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</si>
  <si>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</si>
  <si>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</si>
  <si>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</si>
  <si>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</si>
  <si>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</si>
  <si>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</si>
  <si>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</si>
  <si>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</si>
  <si>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</si>
  <si>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</si>
  <si>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</si>
  <si>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</si>
  <si>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</si>
  <si>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</si>
  <si>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</si>
  <si>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</si>
  <si>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</si>
  <si>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</si>
  <si>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HENNIKER SCHOOL DISTRICT</t>
  </si>
  <si>
    <t>JUL 95</t>
  </si>
  <si>
    <t>FEB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</si>
</sst>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245</v>
      </c>
      <c r="C2" s="21">
        <v>245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217362.35</v>
      </c>
      <c r="G9" s="18">
        <v>-8117.2</v>
      </c>
      <c r="H9" s="18">
        <v>-43004.62</v>
      </c>
      <c r="I9" s="18">
        <v>0</v>
      </c>
      <c r="J9" s="67">
        <f>SUM(I438)</f>
        <v>300313.65999999997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478.65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10498.36</v>
      </c>
      <c r="H13" s="18">
        <v>43004.62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8222.8700000000008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225585.22</v>
      </c>
      <c r="G19" s="41">
        <f>SUM(G9:G18)</f>
        <v>2859.8100000000004</v>
      </c>
      <c r="H19" s="41">
        <f>SUM(H9:H18)</f>
        <v>0</v>
      </c>
      <c r="I19" s="41">
        <f>SUM(I9:I18)</f>
        <v>0</v>
      </c>
      <c r="J19" s="41">
        <f>SUM(J9:J18)</f>
        <v>300313.65999999997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478.65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21080.85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2860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14007.35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2847.81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38426.85</v>
      </c>
      <c r="G32" s="41">
        <f>SUM(G22:G31)</f>
        <v>2847.81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12</v>
      </c>
      <c r="H47" s="18">
        <v>0</v>
      </c>
      <c r="I47" s="18">
        <v>0</v>
      </c>
      <c r="J47" s="13">
        <f>SUM(I458)</f>
        <v>300313.65999999997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127158.37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187158.37</v>
      </c>
      <c r="G50" s="41">
        <f>SUM(G35:G49)</f>
        <v>12</v>
      </c>
      <c r="H50" s="41">
        <f>SUM(H35:H49)</f>
        <v>0</v>
      </c>
      <c r="I50" s="41">
        <f>SUM(I35:I49)</f>
        <v>0</v>
      </c>
      <c r="J50" s="41">
        <f>SUM(J35:J49)</f>
        <v>300313.65999999997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225585.22</v>
      </c>
      <c r="G51" s="41">
        <f>G50+G32</f>
        <v>2859.81</v>
      </c>
      <c r="H51" s="41">
        <f>H50+H32</f>
        <v>0</v>
      </c>
      <c r="I51" s="41">
        <f>I50+I32</f>
        <v>0</v>
      </c>
      <c r="J51" s="41">
        <f>J50+J32</f>
        <v>300313.65999999997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3947000</v>
      </c>
      <c r="G56" s="18">
        <v>29800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3947000</v>
      </c>
      <c r="G59" s="41">
        <f>SUM(G56:G58)</f>
        <v>29800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27821.42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5879.37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33700.79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50997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50997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193.68</v>
      </c>
      <c r="G95" s="18">
        <v>0</v>
      </c>
      <c r="H95" s="18">
        <v>0</v>
      </c>
      <c r="I95" s="18">
        <v>0</v>
      </c>
      <c r="J95" s="18">
        <v>122.8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85021.48-478.65</f>
        <v>84542.83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200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9515.74</v>
      </c>
      <c r="G101" s="18">
        <v>0</v>
      </c>
      <c r="H101" s="18">
        <v>1200</v>
      </c>
      <c r="I101" s="18">
        <v>0</v>
      </c>
      <c r="J101" s="18">
        <v>0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8.85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11696.73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21615</v>
      </c>
      <c r="G110" s="41">
        <f>SUM(G95:G109)</f>
        <v>84542.83</v>
      </c>
      <c r="H110" s="41">
        <f>SUM(H95:H109)</f>
        <v>1200</v>
      </c>
      <c r="I110" s="41">
        <f>SUM(I95:I109)</f>
        <v>0</v>
      </c>
      <c r="J110" s="41">
        <f>SUM(J95:J109)</f>
        <v>122.8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4053312.79</v>
      </c>
      <c r="G111" s="41">
        <f>G59+G110</f>
        <v>114342.83</v>
      </c>
      <c r="H111" s="41">
        <f>H59+H78+H93+H110</f>
        <v>1200</v>
      </c>
      <c r="I111" s="41">
        <f>I59+I110</f>
        <v>0</v>
      </c>
      <c r="J111" s="41">
        <f>J59+J110</f>
        <v>122.8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1598839.71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588363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1385.29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2188588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64147.66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1269.72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64147.66</v>
      </c>
      <c r="G135" s="41">
        <f>SUM(G122:G134)</f>
        <v>1269.72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2252735.66</v>
      </c>
      <c r="G139" s="41">
        <f>G120+SUM(G135:G136)</f>
        <v>1269.72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54394.46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50124.03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53307.839999999997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496.88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47093.54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48505.96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47093.54</v>
      </c>
      <c r="G161" s="41">
        <f>SUM(G149:G160)</f>
        <v>53307.839999999997</v>
      </c>
      <c r="H161" s="41">
        <f>SUM(H149:H160)</f>
        <v>153521.32999999999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47093.54</v>
      </c>
      <c r="G168" s="41">
        <f>G146+G161+SUM(G162:G167)</f>
        <v>53307.839999999997</v>
      </c>
      <c r="H168" s="41">
        <f>H146+H161+SUM(H162:H167)</f>
        <v>153521.32999999999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25564.52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25564.52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478.65</v>
      </c>
      <c r="H178" s="18">
        <v>0</v>
      </c>
      <c r="I178" s="18">
        <v>0</v>
      </c>
      <c r="J178" s="18">
        <v>60000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478.65</v>
      </c>
      <c r="H182" s="41">
        <f>SUM(H178:H181)</f>
        <v>0</v>
      </c>
      <c r="I182" s="41">
        <f>SUM(I178:I181)</f>
        <v>0</v>
      </c>
      <c r="J182" s="41">
        <f>SUM(J178:J181)</f>
        <v>60000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25564.52</v>
      </c>
      <c r="G191" s="41">
        <f>G182+SUM(G187:G190)</f>
        <v>478.65</v>
      </c>
      <c r="H191" s="41">
        <f>+H182+SUM(H187:H190)</f>
        <v>0</v>
      </c>
      <c r="I191" s="41">
        <f>I176+I182+SUM(I187:I190)</f>
        <v>0</v>
      </c>
      <c r="J191" s="41">
        <f>J182</f>
        <v>60000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6378706.5099999998</v>
      </c>
      <c r="G192" s="47">
        <f>G111+G139+G168+G191</f>
        <v>169399.04000000001</v>
      </c>
      <c r="H192" s="47">
        <f>H111+H139+H168+H191</f>
        <v>154721.32999999999</v>
      </c>
      <c r="I192" s="47">
        <f>I111+I139+I168+I191</f>
        <v>0</v>
      </c>
      <c r="J192" s="47">
        <f>J111+J139+J191</f>
        <v>60122.8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1877673.68</v>
      </c>
      <c r="G196" s="18">
        <v>812904.7</v>
      </c>
      <c r="H196" s="18">
        <v>9863.77</v>
      </c>
      <c r="I196" s="18">
        <v>50827.89</v>
      </c>
      <c r="J196" s="18">
        <v>7973.16</v>
      </c>
      <c r="K196" s="18">
        <v>3184.56</v>
      </c>
      <c r="L196" s="19">
        <f>SUM(F196:K196)</f>
        <v>2762427.7600000002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728996.39</v>
      </c>
      <c r="G197" s="18">
        <v>205402.56</v>
      </c>
      <c r="H197" s="18">
        <v>39875.33</v>
      </c>
      <c r="I197" s="18">
        <v>6436.96</v>
      </c>
      <c r="J197" s="18">
        <v>94</v>
      </c>
      <c r="K197" s="18">
        <v>14718.11</v>
      </c>
      <c r="L197" s="19">
        <f>SUM(F197:K197)</f>
        <v>995523.34999999986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19233.2</v>
      </c>
      <c r="G199" s="18">
        <v>3493.89</v>
      </c>
      <c r="H199" s="18">
        <v>0</v>
      </c>
      <c r="I199" s="18">
        <v>549.53</v>
      </c>
      <c r="J199" s="18">
        <v>0</v>
      </c>
      <c r="K199" s="18">
        <v>345.53</v>
      </c>
      <c r="L199" s="19">
        <f>SUM(F199:K199)</f>
        <v>23622.149999999998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370726.44</v>
      </c>
      <c r="G201" s="18">
        <v>140440.15</v>
      </c>
      <c r="H201" s="18">
        <v>0</v>
      </c>
      <c r="I201" s="18">
        <v>5187.6499999999996</v>
      </c>
      <c r="J201" s="18">
        <v>0</v>
      </c>
      <c r="K201" s="18">
        <v>80</v>
      </c>
      <c r="L201" s="19">
        <f t="shared" ref="L201:L207" si="0">SUM(F201:K201)</f>
        <v>516434.24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112483.75</v>
      </c>
      <c r="G202" s="18">
        <v>30652.02</v>
      </c>
      <c r="H202" s="18">
        <v>17753.39</v>
      </c>
      <c r="I202" s="18">
        <v>33806.21</v>
      </c>
      <c r="J202" s="18">
        <v>45366.45</v>
      </c>
      <c r="K202" s="18">
        <v>2165.5</v>
      </c>
      <c r="L202" s="19">
        <f t="shared" si="0"/>
        <v>242227.31999999995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5250</v>
      </c>
      <c r="G203" s="18">
        <v>401.64</v>
      </c>
      <c r="H203" s="18">
        <v>243745.91</v>
      </c>
      <c r="I203" s="18">
        <v>2810.67</v>
      </c>
      <c r="J203" s="18">
        <v>0</v>
      </c>
      <c r="K203" s="18">
        <f>6632.14</f>
        <v>6632.14</v>
      </c>
      <c r="L203" s="19">
        <f t="shared" si="0"/>
        <v>258840.36000000004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240968.69</v>
      </c>
      <c r="G204" s="18">
        <v>117731.58</v>
      </c>
      <c r="H204" s="18">
        <v>12543.9</v>
      </c>
      <c r="I204" s="18">
        <v>3943.31</v>
      </c>
      <c r="J204" s="18">
        <v>0</v>
      </c>
      <c r="K204" s="18">
        <v>2015</v>
      </c>
      <c r="L204" s="19">
        <f t="shared" si="0"/>
        <v>377202.48000000004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194269.07</v>
      </c>
      <c r="G206" s="18">
        <v>95144.94</v>
      </c>
      <c r="H206" s="18">
        <v>180224.56</v>
      </c>
      <c r="I206" s="18">
        <v>100930.87</v>
      </c>
      <c r="J206" s="18">
        <v>0</v>
      </c>
      <c r="K206" s="18">
        <v>0</v>
      </c>
      <c r="L206" s="19">
        <f t="shared" si="0"/>
        <v>570569.43999999994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281509.09999999998</v>
      </c>
      <c r="I207" s="18">
        <v>0</v>
      </c>
      <c r="J207" s="18">
        <v>0</v>
      </c>
      <c r="K207" s="18">
        <v>0</v>
      </c>
      <c r="L207" s="19">
        <f t="shared" si="0"/>
        <v>281509.09999999998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3549601.2199999997</v>
      </c>
      <c r="G210" s="41">
        <f t="shared" si="1"/>
        <v>1406171.48</v>
      </c>
      <c r="H210" s="41">
        <f t="shared" si="1"/>
        <v>785515.96</v>
      </c>
      <c r="I210" s="41">
        <f t="shared" si="1"/>
        <v>204493.08999999997</v>
      </c>
      <c r="J210" s="41">
        <f t="shared" si="1"/>
        <v>53433.61</v>
      </c>
      <c r="K210" s="41">
        <f t="shared" si="1"/>
        <v>29140.84</v>
      </c>
      <c r="L210" s="41">
        <f t="shared" si="1"/>
        <v>6028356.2000000011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3549601.2199999997</v>
      </c>
      <c r="G256" s="41">
        <f t="shared" si="8"/>
        <v>1406171.48</v>
      </c>
      <c r="H256" s="41">
        <f t="shared" si="8"/>
        <v>785515.96</v>
      </c>
      <c r="I256" s="41">
        <f t="shared" si="8"/>
        <v>204493.08999999997</v>
      </c>
      <c r="J256" s="41">
        <f t="shared" si="8"/>
        <v>53433.61</v>
      </c>
      <c r="K256" s="41">
        <f t="shared" si="8"/>
        <v>29140.84</v>
      </c>
      <c r="L256" s="41">
        <f t="shared" si="8"/>
        <v>6028356.2000000011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200000</v>
      </c>
      <c r="L259" s="19">
        <f>SUM(F259:K259)</f>
        <v>200000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50000</v>
      </c>
      <c r="L260" s="19">
        <f>SUM(F260:K260)</f>
        <v>50000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478.65</v>
      </c>
      <c r="L262" s="19">
        <f>SUM(F262:K262)</f>
        <v>478.65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60000</v>
      </c>
      <c r="L265" s="19">
        <f t="shared" si="9"/>
        <v>60000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310478.65000000002</v>
      </c>
      <c r="L269" s="41">
        <f t="shared" si="9"/>
        <v>310478.65000000002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3549601.2199999997</v>
      </c>
      <c r="G270" s="42">
        <f t="shared" si="11"/>
        <v>1406171.48</v>
      </c>
      <c r="H270" s="42">
        <f t="shared" si="11"/>
        <v>785515.96</v>
      </c>
      <c r="I270" s="42">
        <f t="shared" si="11"/>
        <v>204493.08999999997</v>
      </c>
      <c r="J270" s="42">
        <f t="shared" si="11"/>
        <v>53433.61</v>
      </c>
      <c r="K270" s="42">
        <f t="shared" si="11"/>
        <v>339619.49000000005</v>
      </c>
      <c r="L270" s="42">
        <f t="shared" si="11"/>
        <v>6338834.8500000015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53635.96</v>
      </c>
      <c r="G275" s="18">
        <v>838.32</v>
      </c>
      <c r="H275" s="18">
        <v>4545</v>
      </c>
      <c r="I275" s="18">
        <v>16585.66</v>
      </c>
      <c r="J275" s="18">
        <v>0</v>
      </c>
      <c r="K275" s="18">
        <v>3615.93</v>
      </c>
      <c r="L275" s="19">
        <f>SUM(F275:K275)</f>
        <v>79220.87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496.88</v>
      </c>
      <c r="J276" s="18">
        <v>0</v>
      </c>
      <c r="K276" s="18">
        <v>0</v>
      </c>
      <c r="L276" s="19">
        <f>SUM(F276:K276)</f>
        <v>496.88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10006.9</v>
      </c>
      <c r="G281" s="18">
        <v>1517.42</v>
      </c>
      <c r="H281" s="18">
        <v>9622.73</v>
      </c>
      <c r="I281" s="18">
        <v>82.17</v>
      </c>
      <c r="J281" s="18">
        <v>0</v>
      </c>
      <c r="K281" s="18">
        <v>0</v>
      </c>
      <c r="L281" s="19">
        <f t="shared" si="12"/>
        <v>21229.219999999998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376.65</v>
      </c>
      <c r="L282" s="19">
        <f t="shared" si="12"/>
        <v>376.65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63642.86</v>
      </c>
      <c r="G289" s="42">
        <f t="shared" si="13"/>
        <v>2355.7400000000002</v>
      </c>
      <c r="H289" s="42">
        <f t="shared" si="13"/>
        <v>14167.73</v>
      </c>
      <c r="I289" s="42">
        <f t="shared" si="13"/>
        <v>17164.71</v>
      </c>
      <c r="J289" s="42">
        <f t="shared" si="13"/>
        <v>0</v>
      </c>
      <c r="K289" s="42">
        <f t="shared" si="13"/>
        <v>3992.58</v>
      </c>
      <c r="L289" s="41">
        <f t="shared" si="13"/>
        <v>101323.62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63642.86</v>
      </c>
      <c r="G337" s="41">
        <f t="shared" si="20"/>
        <v>2355.7400000000002</v>
      </c>
      <c r="H337" s="41">
        <f t="shared" si="20"/>
        <v>14167.73</v>
      </c>
      <c r="I337" s="41">
        <f t="shared" si="20"/>
        <v>17164.71</v>
      </c>
      <c r="J337" s="41">
        <f t="shared" si="20"/>
        <v>0</v>
      </c>
      <c r="K337" s="41">
        <f t="shared" si="20"/>
        <v>3992.58</v>
      </c>
      <c r="L337" s="41">
        <f t="shared" si="20"/>
        <v>101323.62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53397.71</v>
      </c>
      <c r="L349" s="19">
        <f t="shared" si="21"/>
        <v>53397.71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53397.71</v>
      </c>
      <c r="L350" s="41">
        <f>SUM(L340:L349)</f>
        <v>53397.71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63642.86</v>
      </c>
      <c r="G351" s="41">
        <f>G337</f>
        <v>2355.7400000000002</v>
      </c>
      <c r="H351" s="41">
        <f>H337</f>
        <v>14167.73</v>
      </c>
      <c r="I351" s="41">
        <f>I337</f>
        <v>17164.71</v>
      </c>
      <c r="J351" s="41">
        <f>J337</f>
        <v>0</v>
      </c>
      <c r="K351" s="47">
        <f>K337+K350</f>
        <v>57390.29</v>
      </c>
      <c r="L351" s="41">
        <f>L337+L350</f>
        <v>154721.32999999999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77660.740000000005</v>
      </c>
      <c r="G357" s="18">
        <v>27460.14</v>
      </c>
      <c r="H357" s="18">
        <v>751.94</v>
      </c>
      <c r="I357" s="18">
        <v>62364.01</v>
      </c>
      <c r="J357" s="18">
        <v>60.18</v>
      </c>
      <c r="K357" s="18">
        <v>1090.03</v>
      </c>
      <c r="L357" s="13">
        <f>SUM(F357:K357)</f>
        <v>169387.04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77660.740000000005</v>
      </c>
      <c r="G361" s="47">
        <f t="shared" si="22"/>
        <v>27460.14</v>
      </c>
      <c r="H361" s="47">
        <f t="shared" si="22"/>
        <v>751.94</v>
      </c>
      <c r="I361" s="47">
        <f t="shared" si="22"/>
        <v>62364.01</v>
      </c>
      <c r="J361" s="47">
        <f t="shared" si="22"/>
        <v>60.18</v>
      </c>
      <c r="K361" s="47">
        <f t="shared" si="22"/>
        <v>1090.03</v>
      </c>
      <c r="L361" s="47">
        <f t="shared" si="22"/>
        <v>169387.04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48068.09</v>
      </c>
      <c r="G366" s="18"/>
      <c r="H366" s="18"/>
      <c r="I366" s="56">
        <f>SUM(F366:H366)</f>
        <v>48068.09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14295.92</v>
      </c>
      <c r="G367" s="63"/>
      <c r="H367" s="63"/>
      <c r="I367" s="56">
        <f>SUM(F367:H367)</f>
        <v>14295.92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62364.009999999995</v>
      </c>
      <c r="G368" s="47">
        <f>SUM(G366:G367)</f>
        <v>0</v>
      </c>
      <c r="H368" s="47">
        <f>SUM(H366:H367)</f>
        <v>0</v>
      </c>
      <c r="I368" s="47">
        <f>SUM(I366:I367)</f>
        <v>62364.009999999995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0</v>
      </c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40000</v>
      </c>
      <c r="H395" s="18">
        <v>51.45</v>
      </c>
      <c r="I395" s="18"/>
      <c r="J395" s="24" t="s">
        <v>289</v>
      </c>
      <c r="K395" s="24" t="s">
        <v>289</v>
      </c>
      <c r="L395" s="56">
        <f t="shared" si="26"/>
        <v>40051.449999999997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10000</v>
      </c>
      <c r="H396" s="18">
        <v>59.23</v>
      </c>
      <c r="I396" s="18"/>
      <c r="J396" s="24" t="s">
        <v>289</v>
      </c>
      <c r="K396" s="24" t="s">
        <v>289</v>
      </c>
      <c r="L396" s="56">
        <f t="shared" si="26"/>
        <v>10059.23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10000</v>
      </c>
      <c r="H398" s="18">
        <v>12.12</v>
      </c>
      <c r="I398" s="18"/>
      <c r="J398" s="24" t="s">
        <v>289</v>
      </c>
      <c r="K398" s="24" t="s">
        <v>289</v>
      </c>
      <c r="L398" s="56">
        <f t="shared" si="26"/>
        <v>10012.120000000001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60000</v>
      </c>
      <c r="H400" s="47">
        <f>SUM(H394:H399)</f>
        <v>122.80000000000001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60122.799999999996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60000</v>
      </c>
      <c r="H407" s="47">
        <f>H392+H400+H406</f>
        <v>122.80000000000001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60122.799999999996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0</v>
      </c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300313.65999999997</v>
      </c>
      <c r="H438" s="18"/>
      <c r="I438" s="56">
        <f t="shared" ref="I438:I444" si="33">SUM(F438:H438)</f>
        <v>300313.65999999997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300313.65999999997</v>
      </c>
      <c r="H445" s="13">
        <f>SUM(H438:H444)</f>
        <v>0</v>
      </c>
      <c r="I445" s="13">
        <f>SUM(I438:I444)</f>
        <v>300313.65999999997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300313.65999999997</v>
      </c>
      <c r="H458" s="18"/>
      <c r="I458" s="56">
        <f t="shared" si="34"/>
        <v>300313.65999999997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300313.65999999997</v>
      </c>
      <c r="H459" s="83">
        <f>SUM(H453:H458)</f>
        <v>0</v>
      </c>
      <c r="I459" s="83">
        <f>SUM(I453:I458)</f>
        <v>300313.65999999997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300313.65999999997</v>
      </c>
      <c r="H460" s="42">
        <f>H451+H459</f>
        <v>0</v>
      </c>
      <c r="I460" s="42">
        <f>I451+I459</f>
        <v>300313.65999999997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147286.71</v>
      </c>
      <c r="G464" s="18">
        <v>0</v>
      </c>
      <c r="H464" s="18">
        <v>0</v>
      </c>
      <c r="I464" s="18">
        <v>0</v>
      </c>
      <c r="J464" s="18">
        <v>240190.86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6353141.99+25564.52</f>
        <v>6378706.5099999998</v>
      </c>
      <c r="G467" s="18">
        <v>169399.04000000001</v>
      </c>
      <c r="H467" s="18">
        <v>154721.32999999999</v>
      </c>
      <c r="I467" s="18">
        <v>0</v>
      </c>
      <c r="J467" s="18">
        <v>60122.8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6378706.5099999998</v>
      </c>
      <c r="G469" s="53">
        <f>SUM(G467:G468)</f>
        <v>169399.04000000001</v>
      </c>
      <c r="H469" s="53">
        <f>SUM(H467:H468)</f>
        <v>154721.32999999999</v>
      </c>
      <c r="I469" s="53">
        <f>SUM(I467:I468)</f>
        <v>0</v>
      </c>
      <c r="J469" s="53">
        <f>SUM(J467:J468)</f>
        <v>60122.8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6338834.8499999996</v>
      </c>
      <c r="G471" s="18">
        <v>169387.04</v>
      </c>
      <c r="H471" s="18">
        <v>154721.32999999999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6338834.8499999996</v>
      </c>
      <c r="G473" s="53">
        <f>SUM(G471:G472)</f>
        <v>169387.04</v>
      </c>
      <c r="H473" s="53">
        <f>SUM(H471:H472)</f>
        <v>154721.32999999999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187158.37000000011</v>
      </c>
      <c r="G475" s="53">
        <f>(G464+G469)- G473</f>
        <v>12</v>
      </c>
      <c r="H475" s="53">
        <f>(H464+H469)- H473</f>
        <v>0</v>
      </c>
      <c r="I475" s="53">
        <f>(I464+I469)- I473</f>
        <v>0</v>
      </c>
      <c r="J475" s="53">
        <f>(J464+J469)- J473</f>
        <v>300313.65999999997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3996566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1000000</v>
      </c>
      <c r="G494" s="18"/>
      <c r="H494" s="18"/>
      <c r="I494" s="18"/>
      <c r="J494" s="18"/>
      <c r="K494" s="53">
        <f>SUM(F494:J494)</f>
        <v>1000000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200000</v>
      </c>
      <c r="G496" s="18"/>
      <c r="H496" s="18"/>
      <c r="I496" s="18"/>
      <c r="J496" s="18"/>
      <c r="K496" s="53">
        <f t="shared" si="35"/>
        <v>200000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800000</v>
      </c>
      <c r="G497" s="205"/>
      <c r="H497" s="205"/>
      <c r="I497" s="205"/>
      <c r="J497" s="205"/>
      <c r="K497" s="206">
        <f t="shared" si="35"/>
        <v>800000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89500</v>
      </c>
      <c r="G498" s="18"/>
      <c r="H498" s="18"/>
      <c r="I498" s="18"/>
      <c r="J498" s="18"/>
      <c r="K498" s="53">
        <f t="shared" si="35"/>
        <v>89500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889500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889500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200000</v>
      </c>
      <c r="G500" s="205"/>
      <c r="H500" s="205"/>
      <c r="I500" s="205"/>
      <c r="J500" s="205"/>
      <c r="K500" s="206">
        <f t="shared" si="35"/>
        <v>200000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39000</v>
      </c>
      <c r="G501" s="18"/>
      <c r="H501" s="18"/>
      <c r="I501" s="18"/>
      <c r="J501" s="18"/>
      <c r="K501" s="53">
        <f t="shared" si="35"/>
        <v>39000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239000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239000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728996.39</v>
      </c>
      <c r="G520" s="18">
        <v>205402.56</v>
      </c>
      <c r="H520" s="18">
        <v>39875.33</v>
      </c>
      <c r="I520" s="18">
        <f>6436.96+496.88</f>
        <v>6933.84</v>
      </c>
      <c r="J520" s="18">
        <v>94</v>
      </c>
      <c r="K520" s="18">
        <v>14718.11</v>
      </c>
      <c r="L520" s="88">
        <f>SUM(F520:K520)</f>
        <v>996020.22999999986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728996.39</v>
      </c>
      <c r="G523" s="108">
        <f t="shared" ref="G523:L523" si="36">SUM(G520:G522)</f>
        <v>205402.56</v>
      </c>
      <c r="H523" s="108">
        <f t="shared" si="36"/>
        <v>39875.33</v>
      </c>
      <c r="I523" s="108">
        <f t="shared" si="36"/>
        <v>6933.84</v>
      </c>
      <c r="J523" s="108">
        <f t="shared" si="36"/>
        <v>94</v>
      </c>
      <c r="K523" s="108">
        <f t="shared" si="36"/>
        <v>14718.11</v>
      </c>
      <c r="L523" s="89">
        <f t="shared" si="36"/>
        <v>996020.22999999986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187338.3</v>
      </c>
      <c r="G525" s="18">
        <v>74640.740000000005</v>
      </c>
      <c r="H525" s="18">
        <v>0</v>
      </c>
      <c r="I525" s="18">
        <v>3165.42</v>
      </c>
      <c r="J525" s="18">
        <v>0</v>
      </c>
      <c r="K525" s="18">
        <v>0</v>
      </c>
      <c r="L525" s="88">
        <f>SUM(F525:K525)</f>
        <v>265144.45999999996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187338.3</v>
      </c>
      <c r="G528" s="89">
        <f t="shared" ref="G528:L528" si="37">SUM(G525:G527)</f>
        <v>74640.740000000005</v>
      </c>
      <c r="H528" s="89">
        <f t="shared" si="37"/>
        <v>0</v>
      </c>
      <c r="I528" s="89">
        <f t="shared" si="37"/>
        <v>3165.42</v>
      </c>
      <c r="J528" s="89">
        <f t="shared" si="37"/>
        <v>0</v>
      </c>
      <c r="K528" s="89">
        <f t="shared" si="37"/>
        <v>0</v>
      </c>
      <c r="L528" s="89">
        <f t="shared" si="37"/>
        <v>265144.45999999996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23963.21</v>
      </c>
      <c r="G530" s="18">
        <v>8203.07</v>
      </c>
      <c r="H530" s="18">
        <v>0</v>
      </c>
      <c r="I530" s="18">
        <v>0</v>
      </c>
      <c r="J530" s="18">
        <v>0</v>
      </c>
      <c r="K530" s="18">
        <v>201.23</v>
      </c>
      <c r="L530" s="88">
        <f>SUM(F530:K530)</f>
        <v>32367.51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23963.21</v>
      </c>
      <c r="G533" s="89">
        <f t="shared" ref="G533:L533" si="38">SUM(G530:G532)</f>
        <v>8203.07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201.23</v>
      </c>
      <c r="L533" s="89">
        <f t="shared" si="38"/>
        <v>32367.51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314.01</v>
      </c>
      <c r="I535" s="18"/>
      <c r="J535" s="18"/>
      <c r="K535" s="18"/>
      <c r="L535" s="88">
        <f>SUM(F535:K535)</f>
        <v>314.01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314.01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314.01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87704.45</v>
      </c>
      <c r="I540" s="18"/>
      <c r="J540" s="18"/>
      <c r="K540" s="18"/>
      <c r="L540" s="88">
        <f>SUM(F540:K540)</f>
        <v>87704.45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87704.45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87704.45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940297.89999999991</v>
      </c>
      <c r="G544" s="89">
        <f t="shared" ref="G544:L544" si="41">G523+G528+G533+G538+G543</f>
        <v>288246.37</v>
      </c>
      <c r="H544" s="89">
        <f t="shared" si="41"/>
        <v>127893.79000000001</v>
      </c>
      <c r="I544" s="89">
        <f t="shared" si="41"/>
        <v>10099.26</v>
      </c>
      <c r="J544" s="89">
        <f t="shared" si="41"/>
        <v>94</v>
      </c>
      <c r="K544" s="89">
        <f t="shared" si="41"/>
        <v>14919.34</v>
      </c>
      <c r="L544" s="89">
        <f t="shared" si="41"/>
        <v>1381550.66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996020.22999999986</v>
      </c>
      <c r="G548" s="87">
        <f>L525</f>
        <v>265144.45999999996</v>
      </c>
      <c r="H548" s="87">
        <f>L530</f>
        <v>32367.51</v>
      </c>
      <c r="I548" s="87">
        <f>L535</f>
        <v>314.01</v>
      </c>
      <c r="J548" s="87">
        <f>L540</f>
        <v>87704.45</v>
      </c>
      <c r="K548" s="87">
        <f>SUM(F548:J548)</f>
        <v>1381550.66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996020.22999999986</v>
      </c>
      <c r="G551" s="89">
        <f t="shared" si="42"/>
        <v>265144.45999999996</v>
      </c>
      <c r="H551" s="89">
        <f t="shared" si="42"/>
        <v>32367.51</v>
      </c>
      <c r="I551" s="89">
        <f t="shared" si="42"/>
        <v>314.01</v>
      </c>
      <c r="J551" s="89">
        <f t="shared" si="42"/>
        <v>87704.45</v>
      </c>
      <c r="K551" s="89">
        <f t="shared" si="42"/>
        <v>1381550.66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1438.75</v>
      </c>
      <c r="G561" s="18">
        <v>110.06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1548.81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1438.75</v>
      </c>
      <c r="G564" s="89">
        <f t="shared" si="44"/>
        <v>110.06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1548.81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24682.5</v>
      </c>
      <c r="G566" s="18">
        <v>3631.05</v>
      </c>
      <c r="H566" s="18">
        <v>0</v>
      </c>
      <c r="I566" s="18">
        <v>0</v>
      </c>
      <c r="J566" s="18">
        <v>0</v>
      </c>
      <c r="K566" s="18">
        <v>9346.08</v>
      </c>
      <c r="L566" s="88">
        <f>SUM(F566:K566)</f>
        <v>37659.629999999997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24682.5</v>
      </c>
      <c r="G569" s="194">
        <f t="shared" ref="G569:L569" si="45">SUM(G566:G568)</f>
        <v>3631.05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9346.08</v>
      </c>
      <c r="L569" s="194">
        <f t="shared" si="45"/>
        <v>37659.629999999997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26121.25</v>
      </c>
      <c r="G570" s="89">
        <f t="shared" ref="G570:L570" si="46">G559+G564+G569</f>
        <v>3741.11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9346.08</v>
      </c>
      <c r="L570" s="89">
        <f t="shared" si="46"/>
        <v>39208.439999999995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4462.05</v>
      </c>
      <c r="G581" s="18"/>
      <c r="H581" s="18"/>
      <c r="I581" s="87">
        <f t="shared" si="47"/>
        <v>4462.05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186484.23</v>
      </c>
      <c r="I590" s="18"/>
      <c r="J590" s="18"/>
      <c r="K590" s="104">
        <f t="shared" ref="K590:K596" si="48">SUM(H590:J590)</f>
        <v>186484.23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87704.45</v>
      </c>
      <c r="I591" s="18"/>
      <c r="J591" s="18"/>
      <c r="K591" s="104">
        <f t="shared" si="48"/>
        <v>87704.45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7320.42</v>
      </c>
      <c r="I594" s="18"/>
      <c r="J594" s="18"/>
      <c r="K594" s="104">
        <f t="shared" si="48"/>
        <v>7320.42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281509.09999999998</v>
      </c>
      <c r="I597" s="108">
        <f>SUM(I590:I596)</f>
        <v>0</v>
      </c>
      <c r="J597" s="108">
        <f>SUM(J590:J596)</f>
        <v>0</v>
      </c>
      <c r="K597" s="108">
        <f>SUM(K590:K596)</f>
        <v>281509.09999999998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53433.61</v>
      </c>
      <c r="I603" s="18"/>
      <c r="J603" s="18"/>
      <c r="K603" s="104">
        <f>SUM(H603:J603)</f>
        <v>53433.61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53433.61</v>
      </c>
      <c r="I604" s="108">
        <f>SUM(I601:I603)</f>
        <v>0</v>
      </c>
      <c r="J604" s="108">
        <f>SUM(J601:J603)</f>
        <v>0</v>
      </c>
      <c r="K604" s="108">
        <f>SUM(K601:K603)</f>
        <v>53433.61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17104.25</v>
      </c>
      <c r="G610" s="18">
        <v>1308.5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18412.75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17104.25</v>
      </c>
      <c r="G613" s="108">
        <f t="shared" si="49"/>
        <v>1308.5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18412.75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225585.22</v>
      </c>
      <c r="H616" s="109">
        <f>SUM(F51)</f>
        <v>225585.22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2859.8100000000004</v>
      </c>
      <c r="H617" s="109">
        <f>SUM(G51)</f>
        <v>2859.81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300313.65999999997</v>
      </c>
      <c r="H620" s="109">
        <f>SUM(J51)</f>
        <v>300313.65999999997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187158.37</v>
      </c>
      <c r="H621" s="109">
        <f>F475</f>
        <v>187158.37000000011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12</v>
      </c>
      <c r="H622" s="109">
        <f>G475</f>
        <v>12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300313.65999999997</v>
      </c>
      <c r="H625" s="109">
        <f>J475</f>
        <v>300313.65999999997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6378706.5099999998</v>
      </c>
      <c r="H626" s="104">
        <f>SUM(F467)</f>
        <v>6378706.5099999998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169399.04000000001</v>
      </c>
      <c r="H627" s="104">
        <f>SUM(G467)</f>
        <v>169399.04000000001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154721.32999999999</v>
      </c>
      <c r="H628" s="104">
        <f>SUM(H467)</f>
        <v>154721.32999999999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60122.8</v>
      </c>
      <c r="H630" s="104">
        <f>SUM(J467)</f>
        <v>60122.8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6338834.8500000015</v>
      </c>
      <c r="H631" s="104">
        <f>SUM(F471)</f>
        <v>6338834.8499999996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154721.32999999999</v>
      </c>
      <c r="H632" s="104">
        <f>SUM(H471)</f>
        <v>154721.32999999999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62364.01</v>
      </c>
      <c r="H633" s="104">
        <f>I368</f>
        <v>62364.009999999995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169387.04</v>
      </c>
      <c r="H634" s="104">
        <f>SUM(G471)</f>
        <v>169387.04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60122.799999999996</v>
      </c>
      <c r="H636" s="164">
        <f>SUM(J467)</f>
        <v>60122.8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300313.65999999997</v>
      </c>
      <c r="H639" s="104">
        <f>SUM(G460)</f>
        <v>300313.65999999997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300313.65999999997</v>
      </c>
      <c r="H641" s="104">
        <f>SUM(I460)</f>
        <v>300313.65999999997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122.8</v>
      </c>
      <c r="H643" s="104">
        <f>H407</f>
        <v>122.80000000000001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60000</v>
      </c>
      <c r="H644" s="104">
        <f>G407</f>
        <v>60000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60122.8</v>
      </c>
      <c r="H645" s="104">
        <f>L407</f>
        <v>60122.799999999996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281509.09999999998</v>
      </c>
      <c r="H646" s="104">
        <f>L207+L225+L243</f>
        <v>281509.09999999998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53433.61</v>
      </c>
      <c r="H647" s="104">
        <f>(J256+J337)-(J254+J335)</f>
        <v>53433.61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281509.09999999998</v>
      </c>
      <c r="H648" s="104">
        <f>H597</f>
        <v>281509.09999999998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478.65</v>
      </c>
      <c r="H651" s="104">
        <f>K262+K344</f>
        <v>478.65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60000</v>
      </c>
      <c r="H654" s="104">
        <f>K265+K346</f>
        <v>60000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6299066.8600000013</v>
      </c>
      <c r="G659" s="19">
        <f>(L228+L308+L358)</f>
        <v>0</v>
      </c>
      <c r="H659" s="19">
        <f>(L246+L327+L359)</f>
        <v>0</v>
      </c>
      <c r="I659" s="19">
        <f>SUM(F659:H659)</f>
        <v>6299066.8600000013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84542.83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84542.83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281509.09999999998</v>
      </c>
      <c r="G661" s="19">
        <f>(L225+L305)-(J225+J305)</f>
        <v>0</v>
      </c>
      <c r="H661" s="19">
        <f>(L243+L324)-(J243+J324)</f>
        <v>0</v>
      </c>
      <c r="I661" s="19">
        <f>SUM(F661:H661)</f>
        <v>281509.09999999998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76308.41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76308.41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5856706.5200000014</v>
      </c>
      <c r="G663" s="19">
        <f>G659-SUM(G660:G662)</f>
        <v>0</v>
      </c>
      <c r="H663" s="19">
        <f>H659-SUM(H660:H662)</f>
        <v>0</v>
      </c>
      <c r="I663" s="19">
        <f>I659-SUM(I660:I662)</f>
        <v>5856706.5200000014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382.9</v>
      </c>
      <c r="G664" s="249"/>
      <c r="H664" s="249"/>
      <c r="I664" s="19">
        <f>SUM(F664:H664)</f>
        <v>382.9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15295.66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15295.66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15295.66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15295.66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5" fitToHeight="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8" workbookViewId="0">
      <selection activeCell="B10" sqref="B1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HENNIKER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1931309.64</v>
      </c>
      <c r="C9" s="230">
        <f>'DOE25'!G196+'DOE25'!G214+'DOE25'!G232+'DOE25'!G275+'DOE25'!G294+'DOE25'!G313</f>
        <v>813743.0199999999</v>
      </c>
    </row>
    <row r="10" spans="1:3">
      <c r="A10" t="s">
        <v>779</v>
      </c>
      <c r="B10" s="241">
        <v>1793468.39</v>
      </c>
      <c r="C10" s="241">
        <v>803197.71</v>
      </c>
    </row>
    <row r="11" spans="1:3">
      <c r="A11" t="s">
        <v>780</v>
      </c>
      <c r="B11" s="241">
        <v>79993.75</v>
      </c>
      <c r="C11" s="241">
        <v>6119.52</v>
      </c>
    </row>
    <row r="12" spans="1:3">
      <c r="A12" t="s">
        <v>781</v>
      </c>
      <c r="B12" s="241">
        <v>57847.5</v>
      </c>
      <c r="C12" s="241">
        <v>4425.79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1931309.64</v>
      </c>
      <c r="C13" s="232">
        <f>SUM(C10:C12)</f>
        <v>813743.02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728996.39</v>
      </c>
      <c r="C18" s="230">
        <f>'DOE25'!G197+'DOE25'!G215+'DOE25'!G233+'DOE25'!G276+'DOE25'!G295+'DOE25'!G314</f>
        <v>205402.56</v>
      </c>
    </row>
    <row r="19" spans="1:3">
      <c r="A19" t="s">
        <v>779</v>
      </c>
      <c r="B19" s="241">
        <v>500917.91</v>
      </c>
      <c r="C19" s="241">
        <v>182131.96</v>
      </c>
    </row>
    <row r="20" spans="1:3">
      <c r="A20" t="s">
        <v>780</v>
      </c>
      <c r="B20" s="241">
        <v>202990.48</v>
      </c>
      <c r="C20" s="241">
        <v>13874.47</v>
      </c>
    </row>
    <row r="21" spans="1:3">
      <c r="A21" t="s">
        <v>781</v>
      </c>
      <c r="B21" s="241">
        <v>25088</v>
      </c>
      <c r="C21" s="241">
        <v>9396.1299999999992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728996.39</v>
      </c>
      <c r="C22" s="232">
        <f>SUM(C19:C21)</f>
        <v>205402.56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19233.2</v>
      </c>
      <c r="C36" s="236">
        <f>'DOE25'!G199+'DOE25'!G217+'DOE25'!G235+'DOE25'!G278+'DOE25'!G297+'DOE25'!G316</f>
        <v>3493.89</v>
      </c>
    </row>
    <row r="37" spans="1:3">
      <c r="A37" t="s">
        <v>779</v>
      </c>
      <c r="B37" s="241">
        <v>17802.57</v>
      </c>
      <c r="C37" s="241">
        <v>3144.5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1430.63</v>
      </c>
      <c r="C39" s="241">
        <v>349.39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19233.2</v>
      </c>
      <c r="C40" s="232">
        <f>SUM(C37:C39)</f>
        <v>3493.89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HENNIKER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3781573.2600000002</v>
      </c>
      <c r="D5" s="20">
        <f>SUM('DOE25'!L196:L199)+SUM('DOE25'!L214:L217)+SUM('DOE25'!L232:L235)-F5-G5</f>
        <v>3755257.9</v>
      </c>
      <c r="E5" s="244"/>
      <c r="F5" s="256">
        <f>SUM('DOE25'!J196:J199)+SUM('DOE25'!J214:J217)+SUM('DOE25'!J232:J235)</f>
        <v>8067.16</v>
      </c>
      <c r="G5" s="53">
        <f>SUM('DOE25'!K196:K199)+SUM('DOE25'!K214:K217)+SUM('DOE25'!K232:K235)</f>
        <v>18248.2</v>
      </c>
      <c r="H5" s="260"/>
    </row>
    <row r="6" spans="1:9">
      <c r="A6" s="32">
        <v>2100</v>
      </c>
      <c r="B6" t="s">
        <v>801</v>
      </c>
      <c r="C6" s="246">
        <f t="shared" si="0"/>
        <v>516434.24</v>
      </c>
      <c r="D6" s="20">
        <f>'DOE25'!L201+'DOE25'!L219+'DOE25'!L237-F6-G6</f>
        <v>516354.24</v>
      </c>
      <c r="E6" s="244"/>
      <c r="F6" s="256">
        <f>'DOE25'!J201+'DOE25'!J219+'DOE25'!J237</f>
        <v>0</v>
      </c>
      <c r="G6" s="53">
        <f>'DOE25'!K201+'DOE25'!K219+'DOE25'!K237</f>
        <v>80</v>
      </c>
      <c r="H6" s="260"/>
    </row>
    <row r="7" spans="1:9">
      <c r="A7" s="32">
        <v>2200</v>
      </c>
      <c r="B7" t="s">
        <v>834</v>
      </c>
      <c r="C7" s="246">
        <f t="shared" si="0"/>
        <v>242227.31999999995</v>
      </c>
      <c r="D7" s="20">
        <f>'DOE25'!L202+'DOE25'!L220+'DOE25'!L238-F7-G7</f>
        <v>194695.36999999994</v>
      </c>
      <c r="E7" s="244"/>
      <c r="F7" s="256">
        <f>'DOE25'!J202+'DOE25'!J220+'DOE25'!J238</f>
        <v>45366.45</v>
      </c>
      <c r="G7" s="53">
        <f>'DOE25'!K202+'DOE25'!K220+'DOE25'!K238</f>
        <v>2165.5</v>
      </c>
      <c r="H7" s="260"/>
    </row>
    <row r="8" spans="1:9">
      <c r="A8" s="32">
        <v>2300</v>
      </c>
      <c r="B8" t="s">
        <v>802</v>
      </c>
      <c r="C8" s="246">
        <f t="shared" si="0"/>
        <v>156152.64000000004</v>
      </c>
      <c r="D8" s="244"/>
      <c r="E8" s="20">
        <f>'DOE25'!L203+'DOE25'!L221+'DOE25'!L239-F8-G8-D9-D11</f>
        <v>149520.50000000003</v>
      </c>
      <c r="F8" s="256">
        <f>'DOE25'!J203+'DOE25'!J221+'DOE25'!J239</f>
        <v>0</v>
      </c>
      <c r="G8" s="53">
        <f>'DOE25'!K203+'DOE25'!K221+'DOE25'!K239</f>
        <v>6632.14</v>
      </c>
      <c r="H8" s="260"/>
    </row>
    <row r="9" spans="1:9">
      <c r="A9" s="32">
        <v>2310</v>
      </c>
      <c r="B9" t="s">
        <v>818</v>
      </c>
      <c r="C9" s="246">
        <f t="shared" si="0"/>
        <v>45953.85</v>
      </c>
      <c r="D9" s="245">
        <v>45953.85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5880</v>
      </c>
      <c r="D10" s="244"/>
      <c r="E10" s="245">
        <v>5880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56733.87</v>
      </c>
      <c r="D11" s="245">
        <v>56733.87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377202.48000000004</v>
      </c>
      <c r="D12" s="20">
        <f>'DOE25'!L204+'DOE25'!L222+'DOE25'!L240-F12-G12</f>
        <v>375187.48000000004</v>
      </c>
      <c r="E12" s="244"/>
      <c r="F12" s="256">
        <f>'DOE25'!J204+'DOE25'!J222+'DOE25'!J240</f>
        <v>0</v>
      </c>
      <c r="G12" s="53">
        <f>'DOE25'!K204+'DOE25'!K222+'DOE25'!K240</f>
        <v>2015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570569.43999999994</v>
      </c>
      <c r="D14" s="20">
        <f>'DOE25'!L206+'DOE25'!L224+'DOE25'!L242-F14-G14</f>
        <v>570569.43999999994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281509.09999999998</v>
      </c>
      <c r="D15" s="20">
        <f>'DOE25'!L207+'DOE25'!L225+'DOE25'!L243-F15-G15</f>
        <v>281509.09999999998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250000</v>
      </c>
      <c r="D25" s="244"/>
      <c r="E25" s="244"/>
      <c r="F25" s="259"/>
      <c r="G25" s="257"/>
      <c r="H25" s="258">
        <f>'DOE25'!L259+'DOE25'!L260+'DOE25'!L340+'DOE25'!L341</f>
        <v>250000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121318.95000000001</v>
      </c>
      <c r="D29" s="20">
        <f>'DOE25'!L357+'DOE25'!L358+'DOE25'!L359-'DOE25'!I366-F29-G29</f>
        <v>120168.74000000002</v>
      </c>
      <c r="E29" s="244"/>
      <c r="F29" s="256">
        <f>'DOE25'!J357+'DOE25'!J358+'DOE25'!J359</f>
        <v>60.18</v>
      </c>
      <c r="G29" s="53">
        <f>'DOE25'!K357+'DOE25'!K358+'DOE25'!K359</f>
        <v>1090.03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101323.62</v>
      </c>
      <c r="D31" s="20">
        <f>'DOE25'!L289+'DOE25'!L308+'DOE25'!L327+'DOE25'!L332+'DOE25'!L333+'DOE25'!L334-F31-G31</f>
        <v>97331.04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3992.58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6013761.0300000003</v>
      </c>
      <c r="E33" s="247">
        <f>SUM(E5:E31)</f>
        <v>155400.50000000003</v>
      </c>
      <c r="F33" s="247">
        <f>SUM(F5:F31)</f>
        <v>53493.79</v>
      </c>
      <c r="G33" s="247">
        <f>SUM(G5:G31)</f>
        <v>34223.449999999997</v>
      </c>
      <c r="H33" s="247">
        <f>SUM(H5:H31)</f>
        <v>250000</v>
      </c>
    </row>
    <row r="35" spans="2:8" ht="12" thickBot="1">
      <c r="B35" s="254" t="s">
        <v>847</v>
      </c>
      <c r="D35" s="255">
        <f>E33</f>
        <v>155400.50000000003</v>
      </c>
      <c r="E35" s="250"/>
    </row>
    <row r="36" spans="2:8" ht="12" thickTop="1">
      <c r="B36" t="s">
        <v>815</v>
      </c>
      <c r="D36" s="20">
        <f>D33</f>
        <v>6013761.0300000003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rintOptions headings="1" gridLines="1"/>
  <pageMargins left="0.5" right="0.5" top="0.5" bottom="0.5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HENNIKER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217362.35</v>
      </c>
      <c r="D8" s="95">
        <f>'DOE25'!G9</f>
        <v>-8117.2</v>
      </c>
      <c r="E8" s="95">
        <f>'DOE25'!H9</f>
        <v>-43004.62</v>
      </c>
      <c r="F8" s="95">
        <f>'DOE25'!I9</f>
        <v>0</v>
      </c>
      <c r="G8" s="95">
        <f>'DOE25'!J9</f>
        <v>300313.65999999997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478.65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10498.36</v>
      </c>
      <c r="E12" s="95">
        <f>'DOE25'!H13</f>
        <v>43004.62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8222.8700000000008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225585.22</v>
      </c>
      <c r="D18" s="41">
        <f>SUM(D8:D17)</f>
        <v>2859.8100000000004</v>
      </c>
      <c r="E18" s="41">
        <f>SUM(E8:E17)</f>
        <v>0</v>
      </c>
      <c r="F18" s="41">
        <f>SUM(F8:F17)</f>
        <v>0</v>
      </c>
      <c r="G18" s="41">
        <f>SUM(G8:G17)</f>
        <v>300313.65999999997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478.65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21080.85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2860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14007.35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2847.81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38426.85</v>
      </c>
      <c r="D31" s="41">
        <f>SUM(D21:D30)</f>
        <v>2847.81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12</v>
      </c>
      <c r="E46" s="95">
        <f>'DOE25'!H47</f>
        <v>0</v>
      </c>
      <c r="F46" s="95">
        <f>'DOE25'!I47</f>
        <v>0</v>
      </c>
      <c r="G46" s="95">
        <f>'DOE25'!J47</f>
        <v>300313.65999999997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127158.37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187158.37</v>
      </c>
      <c r="D49" s="41">
        <f>SUM(D34:D48)</f>
        <v>12</v>
      </c>
      <c r="E49" s="41">
        <f>SUM(E34:E48)</f>
        <v>0</v>
      </c>
      <c r="F49" s="41">
        <f>SUM(F34:F48)</f>
        <v>0</v>
      </c>
      <c r="G49" s="41">
        <f>SUM(G34:G48)</f>
        <v>300313.65999999997</v>
      </c>
      <c r="H49" s="124"/>
      <c r="I49" s="124"/>
    </row>
    <row r="50" spans="1:9" ht="12" thickTop="1">
      <c r="A50" s="38" t="s">
        <v>895</v>
      </c>
      <c r="B50" s="2"/>
      <c r="C50" s="41">
        <f>C49+C31</f>
        <v>225585.22</v>
      </c>
      <c r="D50" s="41">
        <f>D49+D31</f>
        <v>2859.81</v>
      </c>
      <c r="E50" s="41">
        <f>E49+E31</f>
        <v>0</v>
      </c>
      <c r="F50" s="41">
        <f>F49+F31</f>
        <v>0</v>
      </c>
      <c r="G50" s="41">
        <f>G49+G31</f>
        <v>300313.65999999997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3947000</v>
      </c>
      <c r="D55" s="95">
        <f>'DOE25'!G59</f>
        <v>29800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33700.79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50997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193.68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122.8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84542.83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21421.32</v>
      </c>
      <c r="D60" s="95">
        <f>SUM('DOE25'!G97:G109)</f>
        <v>0</v>
      </c>
      <c r="E60" s="95">
        <f>SUM('DOE25'!H97:H109)</f>
        <v>1200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106312.79000000001</v>
      </c>
      <c r="D61" s="130">
        <f>SUM(D56:D60)</f>
        <v>84542.83</v>
      </c>
      <c r="E61" s="130">
        <f>SUM(E56:E60)</f>
        <v>1200</v>
      </c>
      <c r="F61" s="130">
        <f>SUM(F56:F60)</f>
        <v>0</v>
      </c>
      <c r="G61" s="130">
        <f>SUM(G56:G60)</f>
        <v>122.8</v>
      </c>
      <c r="H61"/>
      <c r="I61"/>
    </row>
    <row r="62" spans="1:9" ht="12" thickTop="1">
      <c r="A62" s="29" t="s">
        <v>175</v>
      </c>
      <c r="B62" s="6"/>
      <c r="C62" s="22">
        <f>C55+C61</f>
        <v>4053312.79</v>
      </c>
      <c r="D62" s="22">
        <f>D55+D61</f>
        <v>114342.83</v>
      </c>
      <c r="E62" s="22">
        <f>E55+E61</f>
        <v>1200</v>
      </c>
      <c r="F62" s="22">
        <f>F55+F61</f>
        <v>0</v>
      </c>
      <c r="G62" s="22">
        <f>G55+G61</f>
        <v>122.8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1598839.71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588363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1385.29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2188588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64147.66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1269.72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64147.66</v>
      </c>
      <c r="D77" s="130">
        <f>SUM(D71:D76)</f>
        <v>1269.72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2252735.66</v>
      </c>
      <c r="D80" s="130">
        <f>SUM(D78:D79)+D77+D69</f>
        <v>1269.72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47093.54</v>
      </c>
      <c r="D87" s="95">
        <f>SUM('DOE25'!G152:G160)</f>
        <v>53307.839999999997</v>
      </c>
      <c r="E87" s="95">
        <f>SUM('DOE25'!H152:H160)</f>
        <v>153521.32999999999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47093.54</v>
      </c>
      <c r="D90" s="131">
        <f>SUM(D84:D89)</f>
        <v>53307.839999999997</v>
      </c>
      <c r="E90" s="131">
        <f>SUM(E84:E89)</f>
        <v>153521.32999999999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25564.52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478.65</v>
      </c>
      <c r="E95" s="95">
        <f>'DOE25'!H178</f>
        <v>0</v>
      </c>
      <c r="F95" s="95">
        <f>'DOE25'!I178</f>
        <v>0</v>
      </c>
      <c r="G95" s="95">
        <f>'DOE25'!J178</f>
        <v>60000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25564.52</v>
      </c>
      <c r="D102" s="86">
        <f>SUM(D92:D101)</f>
        <v>478.65</v>
      </c>
      <c r="E102" s="86">
        <f>SUM(E92:E101)</f>
        <v>0</v>
      </c>
      <c r="F102" s="86">
        <f>SUM(F92:F101)</f>
        <v>0</v>
      </c>
      <c r="G102" s="86">
        <f>SUM(G92:G101)</f>
        <v>60000</v>
      </c>
    </row>
    <row r="103" spans="1:7" ht="12.75" thickTop="1" thickBot="1">
      <c r="A103" s="33" t="s">
        <v>765</v>
      </c>
      <c r="C103" s="86">
        <f>C62+C80+C90+C102</f>
        <v>6378706.5099999998</v>
      </c>
      <c r="D103" s="86">
        <f>D62+D80+D90+D102</f>
        <v>169399.04000000001</v>
      </c>
      <c r="E103" s="86">
        <f>E62+E80+E90+E102</f>
        <v>154721.32999999999</v>
      </c>
      <c r="F103" s="86">
        <f>F62+F80+F90+F102</f>
        <v>0</v>
      </c>
      <c r="G103" s="86">
        <f>G62+G80+G102</f>
        <v>60122.8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2762427.7600000002</v>
      </c>
      <c r="D108" s="24" t="s">
        <v>289</v>
      </c>
      <c r="E108" s="95">
        <f>('DOE25'!L275)+('DOE25'!L294)+('DOE25'!L313)</f>
        <v>79220.87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995523.34999999986</v>
      </c>
      <c r="D109" s="24" t="s">
        <v>289</v>
      </c>
      <c r="E109" s="95">
        <f>('DOE25'!L276)+('DOE25'!L295)+('DOE25'!L314)</f>
        <v>496.88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23622.149999999998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3781573.2600000002</v>
      </c>
      <c r="D114" s="86">
        <f>SUM(D108:D113)</f>
        <v>0</v>
      </c>
      <c r="E114" s="86">
        <f>SUM(E108:E113)</f>
        <v>79717.75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516434.24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242227.31999999995</v>
      </c>
      <c r="D118" s="24" t="s">
        <v>289</v>
      </c>
      <c r="E118" s="95">
        <f>+('DOE25'!L281)+('DOE25'!L300)+('DOE25'!L319)</f>
        <v>21229.219999999998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258840.36000000004</v>
      </c>
      <c r="D119" s="24" t="s">
        <v>289</v>
      </c>
      <c r="E119" s="95">
        <f>+('DOE25'!L282)+('DOE25'!L301)+('DOE25'!L320)</f>
        <v>376.65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377202.48000000004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570569.43999999994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281509.09999999998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169387.04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2246782.94</v>
      </c>
      <c r="D127" s="86">
        <f>SUM(D117:D126)</f>
        <v>169387.04</v>
      </c>
      <c r="E127" s="86">
        <f>SUM(E117:E126)</f>
        <v>21605.87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478.65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60122.799999999996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-122.79999999999563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53397.71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310478.65000000002</v>
      </c>
      <c r="D143" s="141">
        <f>SUM(D129:D142)</f>
        <v>0</v>
      </c>
      <c r="E143" s="141">
        <f>SUM(E129:E142)</f>
        <v>53397.71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6338834.8500000006</v>
      </c>
      <c r="D144" s="86">
        <f>(D114+D127+D143)</f>
        <v>169387.04</v>
      </c>
      <c r="E144" s="86">
        <f>(E114+E127+E143)</f>
        <v>154721.32999999999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JUL 95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FEB 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3996566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1000000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1000000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200000</v>
      </c>
    </row>
    <row r="158" spans="1:9">
      <c r="A158" s="22" t="s">
        <v>35</v>
      </c>
      <c r="B158" s="137">
        <f>'DOE25'!F497</f>
        <v>800000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800000</v>
      </c>
    </row>
    <row r="159" spans="1:9">
      <c r="A159" s="22" t="s">
        <v>36</v>
      </c>
      <c r="B159" s="137">
        <f>'DOE25'!F498</f>
        <v>89500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89500</v>
      </c>
    </row>
    <row r="160" spans="1:9">
      <c r="A160" s="22" t="s">
        <v>37</v>
      </c>
      <c r="B160" s="137">
        <f>'DOE25'!F499</f>
        <v>889500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889500</v>
      </c>
    </row>
    <row r="161" spans="1:7">
      <c r="A161" s="22" t="s">
        <v>38</v>
      </c>
      <c r="B161" s="137">
        <f>'DOE25'!F500</f>
        <v>200000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200000</v>
      </c>
    </row>
    <row r="162" spans="1:7">
      <c r="A162" s="22" t="s">
        <v>39</v>
      </c>
      <c r="B162" s="137">
        <f>'DOE25'!F501</f>
        <v>39000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39000</v>
      </c>
    </row>
    <row r="163" spans="1:7">
      <c r="A163" s="22" t="s">
        <v>246</v>
      </c>
      <c r="B163" s="137">
        <f>'DOE25'!F502</f>
        <v>239000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239000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HENNIKER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15296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15296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2841649</v>
      </c>
      <c r="D10" s="182">
        <f>ROUND((C10/$C$28)*100,1)</f>
        <v>45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996020</v>
      </c>
      <c r="D11" s="182">
        <f>ROUND((C11/$C$28)*100,1)</f>
        <v>15.8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23622</v>
      </c>
      <c r="D13" s="182">
        <f>ROUND((C13/$C$28)*100,1)</f>
        <v>0.4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516434</v>
      </c>
      <c r="D15" s="182">
        <f t="shared" ref="D15:D27" si="0">ROUND((C15/$C$28)*100,1)</f>
        <v>8.1999999999999993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263457</v>
      </c>
      <c r="D16" s="182">
        <f t="shared" si="0"/>
        <v>4.2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259217</v>
      </c>
      <c r="D17" s="182">
        <f t="shared" si="0"/>
        <v>4.0999999999999996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377202</v>
      </c>
      <c r="D18" s="182">
        <f t="shared" si="0"/>
        <v>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570569</v>
      </c>
      <c r="D20" s="182">
        <f t="shared" si="0"/>
        <v>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281509</v>
      </c>
      <c r="D21" s="182">
        <f t="shared" si="0"/>
        <v>4.5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50000</v>
      </c>
      <c r="D25" s="182">
        <f t="shared" si="0"/>
        <v>0.8</v>
      </c>
    </row>
    <row r="26" spans="1:4">
      <c r="A26" s="183" t="s">
        <v>721</v>
      </c>
      <c r="B26" t="s">
        <v>722</v>
      </c>
      <c r="C26" s="179">
        <f>'DOE25'!L267+'DOE25'!L268+'DOE25'!L348+'DOE25'!L349</f>
        <v>53397.71</v>
      </c>
      <c r="D26" s="182">
        <f t="shared" si="0"/>
        <v>0.8</v>
      </c>
    </row>
    <row r="27" spans="1:4">
      <c r="A27">
        <v>3100</v>
      </c>
      <c r="B27" t="s">
        <v>11</v>
      </c>
      <c r="C27" s="179">
        <f>ROUND('DOE25'!L361-'DOE25'!L360,0)-SUM('DOE25'!G96:G109)</f>
        <v>84844.17</v>
      </c>
      <c r="D27" s="182">
        <f t="shared" si="0"/>
        <v>1.3</v>
      </c>
    </row>
    <row r="28" spans="1:4">
      <c r="B28" s="187" t="s">
        <v>723</v>
      </c>
      <c r="C28" s="180">
        <f>SUM(C10:C27)</f>
        <v>6317920.8799999999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6317920.8799999999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200000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3976800</v>
      </c>
      <c r="D35" s="182">
        <f t="shared" ref="D35:D40" si="1">ROUND((C35/$C$41)*100,1)</f>
        <v>60.1</v>
      </c>
    </row>
    <row r="36" spans="1:4">
      <c r="B36" s="185" t="s">
        <v>743</v>
      </c>
      <c r="C36" s="179">
        <f>SUM('DOE25'!F111:J111)-SUM('DOE25'!G96:G109)+('DOE25'!F173+'DOE25'!F174+'DOE25'!I173+'DOE25'!I174)-C35</f>
        <v>133200.10999999987</v>
      </c>
      <c r="D36" s="182">
        <f t="shared" si="1"/>
        <v>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2188588</v>
      </c>
      <c r="D37" s="182">
        <f t="shared" si="1"/>
        <v>33.1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65417</v>
      </c>
      <c r="D38" s="182">
        <f t="shared" si="1"/>
        <v>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253923</v>
      </c>
      <c r="D39" s="182">
        <f t="shared" si="1"/>
        <v>3.8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6617928.1099999994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HENNIKER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2012-08-31T15:12:43Z</cp:lastPrinted>
  <dcterms:created xsi:type="dcterms:W3CDTF">1997-12-04T19:04:30Z</dcterms:created>
  <dcterms:modified xsi:type="dcterms:W3CDTF">2012-11-28T14:43:06Z</dcterms:modified>
</cp:coreProperties>
</file>