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01" i="1" l="1"/>
  <c r="H153" i="1"/>
  <c r="H154" i="1" s="1"/>
  <c r="G22" i="1"/>
  <c r="G464" i="1"/>
  <c r="H22" i="1" l="1"/>
  <c r="F366" i="1"/>
  <c r="I357" i="1"/>
  <c r="G96" i="1"/>
  <c r="G14" i="1"/>
  <c r="G24" i="1"/>
  <c r="F24" i="1"/>
  <c r="F464" i="1"/>
  <c r="J603" i="1"/>
  <c r="H603" i="1"/>
  <c r="G438" i="1"/>
  <c r="J95" i="1"/>
  <c r="G458" i="1"/>
  <c r="F497" i="1"/>
  <c r="G366" i="1"/>
  <c r="H366" i="1"/>
  <c r="I313" i="1" l="1"/>
  <c r="I275" i="1"/>
  <c r="F117" i="1"/>
  <c r="F56" i="1"/>
  <c r="F67" i="1" l="1"/>
  <c r="F9" i="1"/>
  <c r="G232" i="1"/>
  <c r="G214" i="1"/>
  <c r="G196" i="1"/>
  <c r="F40" i="2"/>
  <c r="D39" i="2"/>
  <c r="G654" i="1" l="1"/>
  <c r="F47" i="2" l="1"/>
  <c r="E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L196" i="1"/>
  <c r="L197" i="1"/>
  <c r="L198" i="1"/>
  <c r="L199" i="1"/>
  <c r="L214" i="1"/>
  <c r="L215" i="1"/>
  <c r="L216" i="1"/>
  <c r="L217" i="1"/>
  <c r="L232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B38" i="12" s="1"/>
  <c r="C36" i="12"/>
  <c r="C38" i="12" s="1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G5" i="13" s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 s="1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D47" i="2" s="1"/>
  <c r="D49" i="2" s="1"/>
  <c r="H32" i="1"/>
  <c r="I32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I469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2" i="1"/>
  <c r="G624" i="1"/>
  <c r="H629" i="1"/>
  <c r="H633" i="1"/>
  <c r="H635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G652" i="1"/>
  <c r="H652" i="1"/>
  <c r="J652" i="1" s="1"/>
  <c r="G653" i="1"/>
  <c r="H653" i="1"/>
  <c r="J653" i="1" s="1"/>
  <c r="H654" i="1"/>
  <c r="J351" i="1"/>
  <c r="F191" i="1"/>
  <c r="L255" i="1"/>
  <c r="G159" i="2"/>
  <c r="C18" i="2"/>
  <c r="F31" i="2"/>
  <c r="C26" i="10"/>
  <c r="L327" i="1"/>
  <c r="L350" i="1"/>
  <c r="I661" i="1"/>
  <c r="L289" i="1"/>
  <c r="F659" i="1" s="1"/>
  <c r="A31" i="12"/>
  <c r="C69" i="2"/>
  <c r="A40" i="12"/>
  <c r="D12" i="13"/>
  <c r="C12" i="13" s="1"/>
  <c r="G8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C90" i="2"/>
  <c r="G80" i="2"/>
  <c r="F77" i="2"/>
  <c r="F80" i="2" s="1"/>
  <c r="F61" i="2"/>
  <c r="F62" i="2" s="1"/>
  <c r="D31" i="2"/>
  <c r="C127" i="2"/>
  <c r="C77" i="2"/>
  <c r="G156" i="2"/>
  <c r="F49" i="2"/>
  <c r="F18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I433" i="1" l="1"/>
  <c r="G433" i="1"/>
  <c r="J651" i="1"/>
  <c r="J649" i="1"/>
  <c r="G570" i="1"/>
  <c r="F49" i="1"/>
  <c r="F50" i="1" s="1"/>
  <c r="F51" i="1" s="1"/>
  <c r="H616" i="1" s="1"/>
  <c r="J616" i="1" s="1"/>
  <c r="G168" i="1"/>
  <c r="I139" i="1"/>
  <c r="G139" i="1"/>
  <c r="G621" i="1"/>
  <c r="G623" i="1"/>
  <c r="J618" i="1"/>
  <c r="I662" i="1"/>
  <c r="F544" i="1"/>
  <c r="J641" i="1"/>
  <c r="K502" i="1"/>
  <c r="G163" i="2"/>
  <c r="G162" i="2"/>
  <c r="G161" i="2"/>
  <c r="G158" i="2"/>
  <c r="F50" i="2"/>
  <c r="D50" i="2"/>
  <c r="L361" i="1"/>
  <c r="G471" i="1" s="1"/>
  <c r="F31" i="13"/>
  <c r="I337" i="1"/>
  <c r="I351" i="1" s="1"/>
  <c r="F139" i="1"/>
  <c r="I256" i="1"/>
  <c r="I270" i="1" s="1"/>
  <c r="G256" i="1"/>
  <c r="G270" i="1" s="1"/>
  <c r="C10" i="10"/>
  <c r="L233" i="1"/>
  <c r="K256" i="1"/>
  <c r="K270" i="1" s="1"/>
  <c r="F256" i="1"/>
  <c r="F270" i="1" s="1"/>
  <c r="J648" i="1"/>
  <c r="G33" i="13"/>
  <c r="A22" i="12"/>
  <c r="E90" i="2"/>
  <c r="C80" i="2"/>
  <c r="E77" i="2"/>
  <c r="E80" i="2" s="1"/>
  <c r="F103" i="2"/>
  <c r="L426" i="1"/>
  <c r="J256" i="1"/>
  <c r="H647" i="1" s="1"/>
  <c r="J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D103" i="2" s="1"/>
  <c r="I168" i="1"/>
  <c r="H168" i="1"/>
  <c r="J270" i="1"/>
  <c r="G551" i="1"/>
  <c r="E50" i="2"/>
  <c r="J643" i="1"/>
  <c r="J642" i="1"/>
  <c r="I475" i="1"/>
  <c r="H624" i="1" s="1"/>
  <c r="J624" i="1" s="1"/>
  <c r="G337" i="1"/>
  <c r="G351" i="1" s="1"/>
  <c r="D144" i="2"/>
  <c r="C23" i="10"/>
  <c r="F168" i="1"/>
  <c r="F192" i="1" s="1"/>
  <c r="J139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E127" i="2"/>
  <c r="E144" i="2" s="1"/>
  <c r="F551" i="1"/>
  <c r="C35" i="10"/>
  <c r="C36" i="10" s="1"/>
  <c r="L308" i="1"/>
  <c r="D5" i="13"/>
  <c r="E16" i="13"/>
  <c r="J654" i="1"/>
  <c r="J644" i="1"/>
  <c r="J192" i="1"/>
  <c r="J467" i="1" s="1"/>
  <c r="L569" i="1"/>
  <c r="I570" i="1"/>
  <c r="I544" i="1"/>
  <c r="J635" i="1"/>
  <c r="G36" i="2"/>
  <c r="G49" i="2" s="1"/>
  <c r="G50" i="2" s="1"/>
  <c r="J50" i="1"/>
  <c r="C39" i="10"/>
  <c r="H192" i="1"/>
  <c r="L564" i="1"/>
  <c r="L570" i="1" s="1"/>
  <c r="G544" i="1"/>
  <c r="L544" i="1"/>
  <c r="H544" i="1"/>
  <c r="K550" i="1"/>
  <c r="K551" i="1" s="1"/>
  <c r="F143" i="2"/>
  <c r="F144" i="2" s="1"/>
  <c r="J469" i="1" l="1"/>
  <c r="J475" i="1" s="1"/>
  <c r="H625" i="1" s="1"/>
  <c r="H630" i="1"/>
  <c r="H636" i="1"/>
  <c r="G626" i="1"/>
  <c r="F467" i="1"/>
  <c r="C48" i="2"/>
  <c r="C49" i="2" s="1"/>
  <c r="C50" i="2" s="1"/>
  <c r="G628" i="1"/>
  <c r="H467" i="1"/>
  <c r="G473" i="1"/>
  <c r="H634" i="1"/>
  <c r="G627" i="1"/>
  <c r="G467" i="1"/>
  <c r="C27" i="10"/>
  <c r="G634" i="1"/>
  <c r="J634" i="1" s="1"/>
  <c r="C109" i="2"/>
  <c r="C114" i="2" s="1"/>
  <c r="C11" i="10"/>
  <c r="L246" i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2" i="1" l="1"/>
  <c r="H471" i="1"/>
  <c r="F469" i="1"/>
  <c r="H626" i="1"/>
  <c r="J626" i="1" s="1"/>
  <c r="H469" i="1"/>
  <c r="H628" i="1"/>
  <c r="J628" i="1" s="1"/>
  <c r="G469" i="1"/>
  <c r="G475" i="1" s="1"/>
  <c r="H622" i="1" s="1"/>
  <c r="J622" i="1" s="1"/>
  <c r="H627" i="1"/>
  <c r="J627" i="1" s="1"/>
  <c r="C28" i="10"/>
  <c r="D23" i="10" s="1"/>
  <c r="L256" i="1"/>
  <c r="L270" i="1" s="1"/>
  <c r="H659" i="1"/>
  <c r="H663" i="1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32" i="1" l="1"/>
  <c r="H473" i="1"/>
  <c r="H475" i="1" s="1"/>
  <c r="H623" i="1" s="1"/>
  <c r="J623" i="1" s="1"/>
  <c r="D17" i="10"/>
  <c r="J632" i="1"/>
  <c r="D11" i="10"/>
  <c r="D24" i="10"/>
  <c r="D27" i="10"/>
  <c r="C30" i="10"/>
  <c r="D19" i="10"/>
  <c r="G631" i="1"/>
  <c r="F471" i="1"/>
  <c r="D16" i="10"/>
  <c r="D12" i="10"/>
  <c r="D21" i="10"/>
  <c r="D15" i="10"/>
  <c r="D25" i="10"/>
  <c r="D22" i="10"/>
  <c r="D26" i="10"/>
  <c r="D13" i="10"/>
  <c r="D10" i="10"/>
  <c r="D18" i="10"/>
  <c r="D20" i="10"/>
  <c r="D41" i="10"/>
  <c r="H666" i="1"/>
  <c r="H671" i="1"/>
  <c r="C6" i="10" s="1"/>
  <c r="I666" i="1"/>
  <c r="I671" i="1"/>
  <c r="C7" i="10" s="1"/>
  <c r="G671" i="1"/>
  <c r="C5" i="10" s="1"/>
  <c r="G666" i="1"/>
  <c r="D28" i="10" l="1"/>
  <c r="H631" i="1"/>
  <c r="J631" i="1" s="1"/>
  <c r="F473" i="1"/>
  <c r="F475" i="1" s="1"/>
  <c r="H621" i="1" s="1"/>
  <c r="J621" i="1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<sst xmlns="http://schemas.openxmlformats.org/spreadsheetml/2006/main" count="3945" uniqueCount="912">
  <si>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</si>
  <si>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</si>
  <si>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</si>
  <si>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</si>
  <si>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</si>
  <si>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</si>
  <si>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</si>
  <si>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</si>
  <si>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</si>
  <si>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</si>
  <si>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</si>
  <si>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</si>
  <si>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</si>
  <si>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</si>
  <si>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</si>
  <si>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</si>
  <si>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</si>
  <si>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</si>
  <si>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</si>
  <si>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</si>
  <si>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</si>
  <si>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</si>
  <si>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</si>
  <si>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</si>
  <si>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</si>
  <si>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</si>
  <si>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</si>
  <si>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</si>
  <si>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</si>
  <si>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</si>
  <si>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</si>
  <si>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</si>
  <si>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</si>
  <si>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</si>
  <si>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</si>
  <si>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</si>
  <si>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</si>
  <si>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</si>
  <si>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</si>
  <si>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</si>
  <si>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</si>
  <si>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</si>
  <si>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</si>
  <si>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</si>
  <si>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</si>
  <si>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</si>
  <si>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</si>
  <si>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</si>
  <si>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</si>
  <si>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</si>
  <si>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</si>
  <si>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</si>
  <si>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</si>
  <si>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</si>
  <si>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</si>
  <si>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</si>
  <si>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</si>
  <si>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</si>
  <si>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</si>
  <si>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</si>
  <si>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</si>
  <si>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</si>
  <si>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</si>
  <si>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</si>
  <si>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</si>
  <si>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</si>
  <si>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</si>
  <si>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</si>
  <si>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</si>
  <si>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</si>
  <si>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</si>
  <si>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</si>
  <si>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</si>
  <si>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</si>
  <si>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</si>
  <si>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</si>
  <si>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</si>
  <si>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</si>
  <si>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</si>
  <si>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</si>
  <si>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</si>
  <si>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</si>
  <si>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</si>
  <si>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</si>
  <si>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</si>
  <si>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</si>
  <si>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</si>
  <si>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</si>
  <si>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</si>
  <si>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</si>
  <si>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</si>
  <si>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</si>
  <si>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</si>
  <si>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</si>
  <si>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</si>
  <si>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</si>
  <si>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</si>
  <si>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</si>
  <si>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</si>
  <si>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</si>
  <si>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</si>
  <si>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</si>
  <si>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</si>
  <si>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</si>
  <si>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</si>
  <si>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</si>
  <si>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</si>
  <si>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</si>
  <si>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</si>
  <si>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</si>
  <si>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</si>
  <si>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</si>
  <si>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</si>
  <si>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</si>
  <si>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</si>
  <si>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</si>
  <si>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</si>
  <si>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</si>
  <si>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</si>
  <si>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</si>
  <si>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</si>
  <si>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</si>
  <si>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</si>
  <si>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</si>
  <si>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</si>
  <si>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</si>
  <si>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</si>
  <si>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</si>
  <si>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</si>
  <si>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</si>
  <si>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</si>
  <si>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</si>
  <si>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</si>
  <si>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</si>
  <si>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</si>
  <si>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</si>
  <si>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</si>
  <si>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</si>
  <si>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</si>
  <si>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</si>
  <si>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</si>
  <si>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</si>
  <si>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</si>
  <si>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</si>
  <si>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</si>
  <si>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</si>
  <si>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</si>
  <si>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</si>
  <si>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</si>
  <si>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</si>
  <si>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</si>
  <si>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</si>
  <si>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</si>
  <si>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</si>
  <si>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</si>
  <si>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</si>
  <si>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</si>
  <si>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</si>
  <si>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</si>
  <si>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</si>
  <si>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</si>
  <si>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</si>
  <si>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</si>
  <si>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</si>
  <si>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</si>
  <si>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</si>
  <si>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</si>
  <si>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</si>
  <si>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</si>
  <si>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</si>
  <si>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</si>
  <si>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</si>
  <si>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</si>
  <si>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</si>
  <si>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</si>
  <si>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</si>
  <si>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</si>
  <si>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</si>
  <si>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</si>
  <si>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</si>
  <si>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</si>
  <si>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</si>
  <si>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</si>
  <si>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</si>
  <si>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</si>
  <si>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</si>
  <si>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</si>
  <si>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</si>
  <si>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</si>
  <si>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</si>
  <si>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</si>
  <si>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</si>
  <si>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</si>
  <si>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</si>
  <si>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</si>
  <si>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</si>
  <si>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</si>
  <si>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</si>
  <si>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</si>
  <si>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</si>
  <si>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</si>
  <si>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</si>
  <si>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</si>
  <si>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</si>
  <si>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</si>
  <si>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</si>
  <si>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</si>
  <si>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</si>
  <si>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</si>
  <si>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</si>
  <si>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</si>
  <si>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</si>
  <si>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</si>
  <si>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</si>
  <si>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</si>
  <si>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</si>
  <si>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</si>
  <si>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</si>
  <si>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</si>
  <si>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</si>
  <si>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</si>
  <si>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</si>
  <si>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</si>
  <si>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</si>
  <si>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</si>
  <si>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</si>
  <si>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</si>
  <si>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</si>
  <si>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</si>
  <si>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</si>
  <si>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</si>
  <si>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</si>
  <si>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</si>
  <si>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</si>
  <si>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</si>
  <si>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</si>
  <si>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</si>
  <si>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</si>
  <si>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</si>
  <si>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</si>
  <si>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</si>
  <si>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</si>
  <si>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</si>
  <si>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</si>
  <si>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</si>
  <si>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</si>
  <si>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</si>
  <si>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</si>
  <si>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</si>
  <si>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</si>
  <si>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</si>
  <si>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</si>
  <si>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</si>
  <si>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</si>
  <si>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</si>
  <si>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</si>
  <si>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</si>
  <si>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</si>
  <si>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</si>
  <si>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</si>
  <si>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</si>
  <si>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</si>
  <si>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</si>
  <si>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</si>
  <si>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</si>
  <si>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</si>
  <si>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</si>
  <si>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</si>
  <si>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</si>
  <si>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</si>
  <si>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</si>
  <si>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</si>
  <si>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</si>
  <si>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</si>
  <si>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</si>
  <si>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</si>
  <si>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</si>
  <si>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</si>
  <si>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</si>
  <si>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</si>
  <si>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</si>
  <si>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</si>
  <si>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</si>
  <si>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</si>
  <si>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</si>
  <si>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</si>
  <si>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</si>
  <si>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</si>
  <si>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</si>
  <si>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</si>
  <si>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</si>
  <si>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</si>
  <si>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</si>
  <si>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</si>
  <si>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</si>
  <si>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</si>
  <si>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</si>
  <si>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</si>
  <si>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</si>
  <si>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</si>
  <si>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</si>
  <si>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</si>
  <si>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</si>
  <si>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</si>
  <si>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</si>
  <si>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</si>
  <si>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</si>
  <si>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</si>
  <si>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</si>
  <si>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</si>
  <si>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</si>
  <si>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</si>
  <si>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</si>
  <si>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</si>
  <si>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</si>
  <si>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</si>
  <si>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</si>
  <si>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</si>
  <si>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</si>
  <si>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</si>
  <si>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</si>
  <si>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</si>
  <si>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</si>
  <si>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</si>
  <si>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</si>
  <si>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</si>
  <si>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</si>
  <si>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</si>
  <si>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</si>
  <si>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</si>
  <si>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</si>
  <si>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</si>
  <si>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</si>
  <si>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</si>
  <si>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</si>
  <si>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</si>
  <si>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</si>
  <si>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</si>
  <si>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</si>
  <si>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</si>
  <si>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</si>
  <si>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</si>
  <si>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</si>
  <si>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</si>
  <si>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</si>
  <si>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</si>
  <si>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</si>
  <si>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</si>
  <si>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</si>
  <si>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</si>
  <si>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</si>
  <si>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</si>
  <si>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</si>
  <si>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</si>
  <si>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</si>
  <si>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</si>
  <si>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</si>
  <si>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</si>
  <si>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</si>
  <si>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</si>
  <si>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</si>
  <si>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</si>
  <si>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</si>
  <si>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</si>
  <si>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</si>
  <si>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</si>
  <si>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</si>
  <si>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</si>
  <si>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</si>
  <si>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</si>
  <si>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</si>
  <si>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</si>
  <si>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</si>
  <si>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</si>
  <si>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</si>
  <si>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</si>
  <si>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</si>
  <si>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</si>
  <si>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</si>
  <si>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</si>
  <si>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</si>
  <si>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</si>
  <si>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</si>
  <si>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</si>
  <si>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</si>
  <si>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</si>
  <si>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</si>
  <si>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</si>
  <si>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</si>
  <si>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</si>
  <si>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</si>
  <si>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</si>
  <si>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</si>
  <si>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</si>
  <si>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</si>
  <si>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</si>
  <si>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</si>
  <si>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</si>
  <si>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</si>
  <si>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</si>
  <si>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</si>
  <si>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</si>
  <si>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</si>
  <si>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</si>
  <si>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</si>
  <si>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</si>
  <si>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</si>
  <si>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</si>
  <si>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</si>
  <si>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</si>
  <si>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</si>
  <si>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</si>
  <si>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</si>
  <si>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</si>
  <si>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</si>
  <si>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</si>
  <si>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</si>
  <si>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</si>
  <si>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</si>
  <si>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</si>
  <si>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</si>
  <si>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</si>
  <si>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</si>
  <si>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</si>
  <si>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</si>
  <si>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</si>
  <si>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</si>
  <si>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</si>
  <si>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</si>
  <si>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</si>
  <si>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</si>
  <si>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</si>
  <si>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</si>
  <si>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</si>
  <si>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</si>
  <si>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</si>
  <si>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</si>
  <si>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</si>
  <si>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</si>
  <si>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</si>
  <si>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</si>
  <si>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</si>
  <si>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</si>
  <si>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</si>
  <si>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</si>
  <si>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</si>
  <si>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</si>
  <si>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</si>
  <si>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</si>
  <si>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</si>
  <si>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</si>
  <si>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</si>
  <si>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</si>
  <si>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</si>
  <si>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</si>
  <si>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</si>
  <si>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</si>
  <si>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</si>
  <si>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</si>
  <si>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</si>
  <si>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</si>
  <si>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</si>
  <si>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</si>
  <si>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</si>
  <si>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</si>
  <si>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</si>
  <si>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</si>
  <si>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</si>
  <si>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</si>
  <si>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</si>
  <si>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</si>
  <si>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</si>
  <si>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</si>
  <si>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</si>
  <si>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</si>
  <si>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</si>
  <si>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</si>
  <si>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</si>
  <si>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</si>
  <si>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</si>
  <si>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</si>
  <si>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</si>
  <si>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</si>
  <si>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</si>
  <si>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</si>
  <si>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</si>
  <si>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</si>
  <si>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</si>
  <si>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</si>
  <si>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</si>
  <si>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</si>
  <si>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</si>
  <si>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</si>
  <si>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</si>
  <si>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</si>
  <si>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</si>
  <si>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</si>
  <si>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</si>
  <si>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</si>
  <si>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</si>
  <si>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</si>
  <si>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</si>
  <si>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</si>
  <si>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</si>
  <si>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</si>
  <si>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</si>
  <si>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</si>
  <si>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</si>
  <si>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</si>
  <si>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</si>
  <si>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</si>
  <si>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</si>
  <si>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</si>
  <si>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</si>
  <si>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</si>
  <si>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</si>
  <si>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</si>
  <si>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</si>
  <si>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</si>
  <si>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</si>
  <si>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</si>
  <si>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</si>
  <si>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</si>
  <si>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</si>
  <si>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</si>
  <si>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</si>
  <si>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</si>
  <si>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</si>
  <si>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</si>
  <si>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</si>
  <si>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</si>
  <si>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</si>
  <si>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</si>
  <si>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</si>
  <si>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</si>
  <si>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</si>
  <si>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</si>
  <si>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</si>
  <si>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</si>
  <si>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</si>
  <si>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</si>
  <si>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</si>
  <si>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</si>
  <si>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</si>
  <si>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</si>
  <si>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</si>
  <si>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</si>
  <si>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</si>
  <si>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</si>
  <si>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</si>
  <si>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</si>
  <si>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</si>
  <si>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</si>
  <si>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</si>
  <si>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</si>
  <si>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</si>
  <si>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</si>
  <si>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</si>
  <si>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</si>
  <si>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</si>
  <si>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</si>
  <si>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</si>
  <si>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</si>
  <si>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</si>
  <si>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</si>
  <si>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</si>
  <si>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</si>
  <si>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</si>
  <si>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</si>
  <si>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</si>
  <si>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</si>
  <si>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</si>
  <si>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</si>
  <si>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</si>
  <si>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</si>
  <si>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</si>
  <si>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</si>
  <si>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</si>
  <si>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</si>
  <si>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</si>
  <si>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</si>
  <si>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</si>
  <si>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</si>
  <si>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</si>
  <si>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</si>
  <si>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</si>
  <si>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</si>
  <si>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</si>
  <si>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</si>
  <si>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</si>
  <si>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</si>
  <si>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</si>
  <si>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</si>
  <si>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</si>
  <si>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</si>
  <si>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</si>
  <si>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</si>
  <si>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</si>
  <si>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</si>
  <si>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</si>
  <si>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</si>
  <si>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</si>
  <si>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</si>
  <si>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</si>
  <si>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</si>
  <si>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</si>
  <si>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</si>
  <si>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</si>
  <si>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</si>
  <si>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</si>
  <si>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</si>
  <si>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</si>
  <si>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</si>
  <si>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</si>
  <si>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</si>
  <si>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</si>
  <si>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</si>
  <si>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</si>
  <si>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</si>
  <si>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</si>
  <si>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</si>
  <si>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</si>
  <si>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</si>
  <si>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</si>
  <si>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</si>
  <si>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</si>
  <si>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</si>
  <si>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</si>
  <si>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</si>
  <si>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</si>
  <si>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</si>
  <si>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</si>
  <si>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</si>
  <si>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</si>
  <si>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</si>
  <si>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</si>
  <si>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</si>
  <si>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</si>
  <si>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</si>
  <si>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</si>
  <si>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</si>
  <si>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</si>
  <si>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</si>
  <si>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</si>
  <si>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</si>
  <si>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</si>
  <si>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</si>
  <si>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</si>
  <si>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</si>
  <si>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</si>
  <si>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</si>
  <si>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</si>
  <si>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</si>
  <si>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</si>
  <si>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</si>
  <si>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</si>
  <si>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</si>
  <si>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</si>
  <si>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</si>
  <si>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</si>
  <si>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</si>
  <si>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</si>
  <si>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</si>
  <si>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</si>
  <si>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</si>
  <si>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</si>
  <si>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</si>
  <si>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</si>
  <si>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</si>
  <si>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</si>
  <si>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</si>
  <si>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</si>
  <si>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</si>
  <si>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</si>
  <si>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</si>
  <si>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</si>
  <si>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</si>
  <si>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</si>
  <si>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</si>
  <si>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</si>
  <si>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</si>
  <si>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</si>
  <si>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</si>
  <si>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</si>
  <si>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</si>
  <si>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</si>
  <si>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</si>
  <si>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</si>
  <si>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</si>
  <si>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</si>
  <si>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</si>
  <si>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</si>
  <si>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</si>
  <si>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</si>
  <si>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</si>
  <si>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</si>
  <si>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</si>
  <si>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</si>
  <si>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</si>
  <si>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</si>
  <si>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</si>
  <si>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</si>
  <si>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</si>
  <si>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</si>
  <si>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</si>
  <si>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</si>
  <si>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</si>
  <si>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</si>
  <si>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</si>
  <si>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</si>
  <si>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</si>
  <si>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</si>
  <si>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</si>
  <si>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</si>
  <si>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</si>
  <si>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</si>
  <si>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</si>
  <si>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</si>
  <si>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</si>
  <si>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</si>
  <si>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</si>
  <si>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</si>
  <si>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</si>
  <si>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</si>
  <si>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</si>
  <si>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</si>
  <si>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</si>
  <si>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</si>
  <si>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</si>
  <si>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</si>
  <si>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</si>
  <si>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</si>
  <si>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</si>
  <si>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</si>
  <si>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</si>
  <si>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</si>
  <si>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</si>
  <si>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</si>
  <si>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</si>
  <si>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</si>
  <si>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</si>
  <si>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</si>
  <si>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</si>
  <si>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</si>
  <si>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</si>
  <si>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</si>
  <si>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</si>
  <si>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</si>
  <si>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</si>
  <si>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</si>
  <si>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</si>
  <si>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</si>
  <si>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</si>
  <si>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</si>
  <si>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</si>
  <si>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</si>
  <si>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</si>
  <si>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</si>
  <si>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</si>
  <si>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</si>
  <si>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</si>
  <si>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</si>
  <si>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</si>
  <si>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</si>
  <si>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</si>
  <si>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</si>
  <si>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</si>
  <si>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</si>
  <si>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</si>
  <si>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</si>
  <si>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</si>
  <si>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</si>
  <si>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</si>
  <si>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</si>
  <si>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</si>
  <si>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</si>
  <si>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</si>
  <si>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</si>
  <si>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</si>
  <si>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</si>
  <si>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</si>
  <si>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</si>
  <si>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</si>
  <si>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</si>
  <si>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</si>
  <si>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</si>
  <si>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</si>
  <si>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</si>
  <si>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</si>
  <si>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</si>
  <si>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</si>
  <si>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</si>
  <si>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</si>
  <si>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</si>
  <si>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</si>
  <si>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</si>
  <si>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</si>
  <si>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</si>
  <si>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</si>
  <si>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</si>
  <si>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</si>
  <si>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</si>
  <si>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</si>
  <si>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</si>
  <si>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</si>
  <si>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</si>
  <si>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</si>
  <si>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</si>
  <si>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</si>
  <si>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</si>
  <si>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</si>
  <si>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</si>
  <si>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</si>
  <si>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</si>
  <si>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</si>
  <si>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</si>
  <si>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</si>
  <si>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</si>
  <si>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</si>
  <si>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</si>
  <si>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</si>
  <si>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</si>
  <si>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</si>
  <si>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</si>
  <si>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</si>
  <si>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</si>
  <si>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</si>
  <si>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</si>
  <si>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</si>
  <si>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</si>
  <si>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</si>
  <si>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</si>
  <si>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</si>
  <si>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</si>
  <si>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</si>
  <si>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</si>
  <si>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</si>
  <si>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</si>
  <si>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</si>
  <si>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</si>
  <si>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</si>
  <si>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</si>
  <si>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</si>
  <si>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</si>
  <si>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</si>
  <si>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</si>
  <si>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</si>
  <si>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</si>
  <si>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</si>
  <si>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</si>
  <si>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</si>
  <si>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</si>
  <si>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</si>
  <si>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</si>
  <si>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</si>
  <si>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</si>
  <si>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</si>
  <si>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</si>
  <si>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</si>
  <si>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</si>
  <si>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</si>
  <si>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</si>
  <si>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</si>
  <si>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</si>
  <si>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</si>
  <si>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</si>
  <si>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</si>
  <si>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</si>
  <si>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</si>
  <si>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</si>
  <si>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</si>
  <si>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</si>
  <si>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</si>
  <si>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</si>
  <si>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</si>
  <si>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</si>
  <si>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</si>
  <si>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</si>
  <si>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</si>
  <si>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</si>
  <si>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</si>
  <si>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</si>
  <si>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</si>
  <si>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</si>
  <si>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</si>
  <si>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</si>
  <si>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</si>
  <si>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</si>
  <si>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</si>
  <si>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</si>
  <si>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</si>
  <si>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</si>
  <si>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</si>
  <si>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</si>
  <si>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</si>
  <si>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</si>
  <si>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</si>
  <si>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</si>
  <si>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</si>
  <si>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</si>
  <si>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</si>
  <si>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</si>
  <si>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</si>
  <si>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</si>
  <si>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</si>
  <si>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</si>
  <si>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</si>
  <si>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</si>
  <si>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</si>
  <si>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HILLSBORO-DEERING COOPERATIVE </t>
  </si>
  <si>
    <t>07/02</t>
  </si>
  <si>
    <t>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</si>
</sst>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8" fontId="0" fillId="0" borderId="0" xfId="0" applyNumberFormat="1" applyProtection="1">
      <protection locked="0"/>
    </xf>
    <xf numFmtId="40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251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642022+350</f>
        <v>642372</v>
      </c>
      <c r="G9" s="18"/>
      <c r="H9" s="18"/>
      <c r="I9" s="18"/>
      <c r="J9" s="67">
        <f>SUM(I438)</f>
        <v>357830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454516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161254</v>
      </c>
      <c r="G13" s="18">
        <v>58354</v>
      </c>
      <c r="H13" s="18">
        <v>658888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3178+381</f>
        <v>3559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8856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1258142</v>
      </c>
      <c r="G19" s="41">
        <f>SUM(G9:G18)</f>
        <v>70769</v>
      </c>
      <c r="H19" s="41">
        <f>SUM(H9:H18)</f>
        <v>658888</v>
      </c>
      <c r="I19" s="41">
        <f>SUM(I9:I18)</f>
        <v>0</v>
      </c>
      <c r="J19" s="41">
        <f>SUM(J9:J18)</f>
        <v>357830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83222-26298</f>
        <v>56924</v>
      </c>
      <c r="H22" s="18">
        <f>394285-211</f>
        <v>394074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438828+4076</f>
        <v>442904</v>
      </c>
      <c r="G24" s="18">
        <f>4753+236</f>
        <v>4989</v>
      </c>
      <c r="H24" s="18">
        <v>10725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36463</v>
      </c>
      <c r="G30" s="18"/>
      <c r="H30" s="18">
        <v>242695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479367</v>
      </c>
      <c r="G32" s="41">
        <f>SUM(G22:G31)</f>
        <v>61913</v>
      </c>
      <c r="H32" s="41">
        <f>SUM(H22:H31)</f>
        <v>647494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8856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357830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173606</v>
      </c>
      <c r="G48" s="18"/>
      <c r="H48" s="18">
        <v>11394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F19-F32-F48-F44</f>
        <v>505169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778775</v>
      </c>
      <c r="G50" s="41">
        <f>SUM(G35:G49)</f>
        <v>8856</v>
      </c>
      <c r="H50" s="41">
        <f>SUM(H35:H49)</f>
        <v>11394</v>
      </c>
      <c r="I50" s="41">
        <f>SUM(I35:I49)</f>
        <v>0</v>
      </c>
      <c r="J50" s="41">
        <f>SUM(J35:J49)</f>
        <v>357830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1258142</v>
      </c>
      <c r="G51" s="41">
        <f>G50+G32</f>
        <v>70769</v>
      </c>
      <c r="H51" s="41">
        <f>H50+H32</f>
        <v>658888</v>
      </c>
      <c r="I51" s="41">
        <f>I50+I32</f>
        <v>0</v>
      </c>
      <c r="J51" s="41">
        <f>J50+J32</f>
        <v>357830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7353464+2995107-25240</f>
        <v>10323331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10323331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1115331+31026+321941</f>
        <v>1468298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19184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1487482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3315</v>
      </c>
      <c r="G95" s="18"/>
      <c r="H95" s="18"/>
      <c r="I95" s="18"/>
      <c r="J95" s="18">
        <f>151+78</f>
        <v>229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264858+381</f>
        <v>265239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208216+2934</f>
        <v>211150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2123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15438</v>
      </c>
      <c r="G110" s="41">
        <f>SUM(G95:G109)</f>
        <v>265239</v>
      </c>
      <c r="H110" s="41">
        <f>SUM(H95:H109)</f>
        <v>211150</v>
      </c>
      <c r="I110" s="41">
        <f>SUM(I95:I109)</f>
        <v>0</v>
      </c>
      <c r="J110" s="41">
        <f>SUM(J95:J109)</f>
        <v>229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11826251</v>
      </c>
      <c r="G111" s="41">
        <f>G59+G110</f>
        <v>265239</v>
      </c>
      <c r="H111" s="41">
        <f>H59+H78+H93+H110</f>
        <v>211150</v>
      </c>
      <c r="I111" s="41">
        <f>I59+I110</f>
        <v>0</v>
      </c>
      <c r="J111" s="41">
        <f>J59+J110</f>
        <v>229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6181293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1624364+25240</f>
        <v>1649604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5356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7836253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368556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216507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13817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6680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598880</v>
      </c>
      <c r="G135" s="41">
        <f>SUM(G122:G134)</f>
        <v>6680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8435133</v>
      </c>
      <c r="G139" s="41">
        <f>G120+SUM(G135:G136)</f>
        <v>6680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643507</f>
        <v>643507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(1641863-6735)-H153</f>
        <v>991621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309715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85186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85186</v>
      </c>
      <c r="G161" s="41">
        <f>SUM(G149:G160)</f>
        <v>309715</v>
      </c>
      <c r="H161" s="41">
        <f>SUM(H149:H160)</f>
        <v>1635128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85186</v>
      </c>
      <c r="G168" s="41">
        <f>G146+G161+SUM(G162:G167)</f>
        <v>309715</v>
      </c>
      <c r="H168" s="41">
        <f>H146+H161+SUM(H162:H167)</f>
        <v>1635128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61975</v>
      </c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8084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8084</v>
      </c>
      <c r="G182" s="41">
        <f>SUM(G178:G181)</f>
        <v>61975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8084</v>
      </c>
      <c r="G191" s="41">
        <f>G182+SUM(G187:G190)</f>
        <v>61975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20354654</v>
      </c>
      <c r="G192" s="47">
        <f>G111+G139+G168+G191</f>
        <v>643609</v>
      </c>
      <c r="H192" s="47">
        <f>H111+H139+H168+H191</f>
        <v>1846278</v>
      </c>
      <c r="I192" s="47">
        <f>I111+I139+I168+I191</f>
        <v>0</v>
      </c>
      <c r="J192" s="47">
        <f>J111+J139+J191</f>
        <v>50229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1986223</v>
      </c>
      <c r="G196" s="18">
        <f>854730+845</f>
        <v>855575</v>
      </c>
      <c r="H196" s="18">
        <v>409</v>
      </c>
      <c r="I196" s="18">
        <v>76314</v>
      </c>
      <c r="J196" s="18">
        <v>0</v>
      </c>
      <c r="K196" s="18">
        <v>488</v>
      </c>
      <c r="L196" s="19">
        <f>SUM(F196:K196)</f>
        <v>2919009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878657</v>
      </c>
      <c r="G197" s="18">
        <v>525330</v>
      </c>
      <c r="H197" s="18">
        <v>35057</v>
      </c>
      <c r="I197" s="18">
        <v>5630</v>
      </c>
      <c r="J197" s="18">
        <v>335</v>
      </c>
      <c r="K197" s="18">
        <v>183</v>
      </c>
      <c r="L197" s="19">
        <f>SUM(F197:K197)</f>
        <v>1445192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2200</v>
      </c>
      <c r="G199" s="18">
        <v>370</v>
      </c>
      <c r="H199" s="18"/>
      <c r="I199" s="18"/>
      <c r="J199" s="18"/>
      <c r="K199" s="18"/>
      <c r="L199" s="19">
        <f>SUM(F199:K199)</f>
        <v>2570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472124</v>
      </c>
      <c r="G201" s="18">
        <v>220049</v>
      </c>
      <c r="H201" s="18">
        <v>33266</v>
      </c>
      <c r="I201" s="18">
        <v>3130</v>
      </c>
      <c r="J201" s="18"/>
      <c r="K201" s="18"/>
      <c r="L201" s="19">
        <f t="shared" ref="L201:L207" si="0">SUM(F201:K201)</f>
        <v>728569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159445</v>
      </c>
      <c r="G202" s="18">
        <v>82355</v>
      </c>
      <c r="H202" s="18">
        <v>16018</v>
      </c>
      <c r="I202" s="18">
        <v>45831</v>
      </c>
      <c r="J202" s="18">
        <v>74478</v>
      </c>
      <c r="K202" s="18">
        <v>253</v>
      </c>
      <c r="L202" s="19">
        <f t="shared" si="0"/>
        <v>378380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3668</v>
      </c>
      <c r="G203" s="18">
        <v>35687</v>
      </c>
      <c r="H203" s="18">
        <v>417180</v>
      </c>
      <c r="I203" s="18">
        <v>35</v>
      </c>
      <c r="J203" s="18">
        <v>0</v>
      </c>
      <c r="K203" s="18">
        <v>5598</v>
      </c>
      <c r="L203" s="19">
        <f t="shared" si="0"/>
        <v>462168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213283</v>
      </c>
      <c r="G204" s="18">
        <v>97176</v>
      </c>
      <c r="H204" s="18">
        <v>4438</v>
      </c>
      <c r="I204" s="18">
        <v>3387</v>
      </c>
      <c r="J204" s="18">
        <v>0</v>
      </c>
      <c r="K204" s="18">
        <v>1318</v>
      </c>
      <c r="L204" s="19">
        <f t="shared" si="0"/>
        <v>319602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>
        <v>3789</v>
      </c>
      <c r="J205" s="18"/>
      <c r="K205" s="18"/>
      <c r="L205" s="19">
        <f t="shared" si="0"/>
        <v>3789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72259</v>
      </c>
      <c r="G206" s="18">
        <v>28274</v>
      </c>
      <c r="H206" s="18">
        <v>438268</v>
      </c>
      <c r="I206" s="18">
        <v>250871</v>
      </c>
      <c r="J206" s="18">
        <v>0</v>
      </c>
      <c r="K206" s="18">
        <v>0</v>
      </c>
      <c r="L206" s="19">
        <f t="shared" si="0"/>
        <v>789672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282233</v>
      </c>
      <c r="I207" s="18"/>
      <c r="J207" s="18"/>
      <c r="K207" s="18"/>
      <c r="L207" s="19">
        <f t="shared" si="0"/>
        <v>282233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3787859</v>
      </c>
      <c r="G210" s="41">
        <f t="shared" si="1"/>
        <v>1844816</v>
      </c>
      <c r="H210" s="41">
        <f t="shared" si="1"/>
        <v>1226869</v>
      </c>
      <c r="I210" s="41">
        <f t="shared" si="1"/>
        <v>388987</v>
      </c>
      <c r="J210" s="41">
        <f t="shared" si="1"/>
        <v>74813</v>
      </c>
      <c r="K210" s="41">
        <f t="shared" si="1"/>
        <v>7840</v>
      </c>
      <c r="L210" s="41">
        <f t="shared" si="1"/>
        <v>7331184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1248037</v>
      </c>
      <c r="G214" s="18">
        <f>602209+845</f>
        <v>603054</v>
      </c>
      <c r="H214" s="18">
        <v>5007</v>
      </c>
      <c r="I214" s="18">
        <v>60000</v>
      </c>
      <c r="J214" s="18">
        <v>8723</v>
      </c>
      <c r="K214" s="18">
        <v>13958</v>
      </c>
      <c r="L214" s="19">
        <f>SUM(F214:K214)</f>
        <v>1938779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429929</v>
      </c>
      <c r="G215" s="18">
        <v>191990</v>
      </c>
      <c r="H215" s="18">
        <v>101504</v>
      </c>
      <c r="I215" s="18">
        <v>1007</v>
      </c>
      <c r="J215" s="18">
        <v>450</v>
      </c>
      <c r="K215" s="18">
        <v>100</v>
      </c>
      <c r="L215" s="19">
        <f>SUM(F215:K215)</f>
        <v>724980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6850</v>
      </c>
      <c r="G217" s="18">
        <v>1088</v>
      </c>
      <c r="H217" s="18">
        <v>30000</v>
      </c>
      <c r="I217" s="18">
        <v>1745</v>
      </c>
      <c r="J217" s="18">
        <v>0</v>
      </c>
      <c r="K217" s="18">
        <v>448</v>
      </c>
      <c r="L217" s="19">
        <f>SUM(F217:K217)</f>
        <v>40131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194321</v>
      </c>
      <c r="G219" s="18">
        <v>106228</v>
      </c>
      <c r="H219" s="18">
        <v>18384</v>
      </c>
      <c r="I219" s="18">
        <v>3197</v>
      </c>
      <c r="J219" s="18">
        <v>216</v>
      </c>
      <c r="K219" s="18">
        <v>0</v>
      </c>
      <c r="L219" s="19">
        <f t="shared" ref="L219:L225" si="2">SUM(F219:K219)</f>
        <v>322346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103123</v>
      </c>
      <c r="G220" s="18">
        <v>73686</v>
      </c>
      <c r="H220" s="18">
        <v>8645</v>
      </c>
      <c r="I220" s="18">
        <v>30419</v>
      </c>
      <c r="J220" s="18">
        <v>45291</v>
      </c>
      <c r="K220" s="18">
        <v>138</v>
      </c>
      <c r="L220" s="19">
        <f t="shared" si="2"/>
        <v>261302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2007</v>
      </c>
      <c r="G221" s="18">
        <v>19523</v>
      </c>
      <c r="H221" s="18">
        <v>228226</v>
      </c>
      <c r="I221" s="18">
        <v>19</v>
      </c>
      <c r="J221" s="18">
        <v>0</v>
      </c>
      <c r="K221" s="18">
        <v>3063</v>
      </c>
      <c r="L221" s="19">
        <f t="shared" si="2"/>
        <v>252838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206106</v>
      </c>
      <c r="G222" s="18">
        <v>96133</v>
      </c>
      <c r="H222" s="18">
        <v>6116</v>
      </c>
      <c r="I222" s="18">
        <v>2839</v>
      </c>
      <c r="J222" s="18">
        <v>0</v>
      </c>
      <c r="K222" s="18">
        <v>1179</v>
      </c>
      <c r="L222" s="19">
        <f t="shared" si="2"/>
        <v>312373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>
        <v>2073</v>
      </c>
      <c r="J223" s="18"/>
      <c r="K223" s="18"/>
      <c r="L223" s="19">
        <f t="shared" si="2"/>
        <v>2073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39531</v>
      </c>
      <c r="G224" s="18">
        <v>15468</v>
      </c>
      <c r="H224" s="18">
        <v>239763</v>
      </c>
      <c r="I224" s="18">
        <v>137244</v>
      </c>
      <c r="J224" s="18">
        <v>0</v>
      </c>
      <c r="K224" s="18">
        <v>0</v>
      </c>
      <c r="L224" s="19">
        <f t="shared" si="2"/>
        <v>432006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174290</v>
      </c>
      <c r="I225" s="18"/>
      <c r="J225" s="18"/>
      <c r="K225" s="18"/>
      <c r="L225" s="19">
        <f t="shared" si="2"/>
        <v>174290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2229904</v>
      </c>
      <c r="G228" s="41">
        <f>SUM(G214:G227)</f>
        <v>1107170</v>
      </c>
      <c r="H228" s="41">
        <f>SUM(H214:H227)</f>
        <v>811935</v>
      </c>
      <c r="I228" s="41">
        <f>SUM(I214:I227)</f>
        <v>238543</v>
      </c>
      <c r="J228" s="41">
        <f>SUM(J214:J227)</f>
        <v>54680</v>
      </c>
      <c r="K228" s="41">
        <f t="shared" si="3"/>
        <v>18886</v>
      </c>
      <c r="L228" s="41">
        <f t="shared" si="3"/>
        <v>4461118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1789961</v>
      </c>
      <c r="G232" s="18">
        <f>873864+847</f>
        <v>874711</v>
      </c>
      <c r="H232" s="18">
        <v>20158</v>
      </c>
      <c r="I232" s="18">
        <v>44678</v>
      </c>
      <c r="J232" s="18">
        <v>3054</v>
      </c>
      <c r="K232" s="18">
        <v>7629</v>
      </c>
      <c r="L232" s="19">
        <f>SUM(F232:K232)</f>
        <v>2740191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675933</v>
      </c>
      <c r="G233" s="18">
        <v>387019</v>
      </c>
      <c r="H233" s="18">
        <v>562619</v>
      </c>
      <c r="I233" s="18">
        <v>8425</v>
      </c>
      <c r="J233" s="18">
        <v>1338</v>
      </c>
      <c r="K233" s="18">
        <v>146</v>
      </c>
      <c r="L233" s="19">
        <f>SUM(F233:K233)</f>
        <v>1635480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77079</v>
      </c>
      <c r="I234" s="18"/>
      <c r="J234" s="18"/>
      <c r="K234" s="18"/>
      <c r="L234" s="19">
        <f>SUM(F234:K234)</f>
        <v>77079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82150</v>
      </c>
      <c r="G235" s="18">
        <v>10212</v>
      </c>
      <c r="H235" s="18">
        <v>17008</v>
      </c>
      <c r="I235" s="18">
        <v>10361</v>
      </c>
      <c r="J235" s="18">
        <v>28450</v>
      </c>
      <c r="K235" s="18">
        <v>15544</v>
      </c>
      <c r="L235" s="19">
        <f>SUM(F235:K235)</f>
        <v>163725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248939</v>
      </c>
      <c r="G237" s="18">
        <v>111648</v>
      </c>
      <c r="H237" s="18">
        <v>31228</v>
      </c>
      <c r="I237" s="18">
        <v>3094</v>
      </c>
      <c r="J237" s="18">
        <v>0</v>
      </c>
      <c r="K237" s="18">
        <v>0</v>
      </c>
      <c r="L237" s="19">
        <f t="shared" ref="L237:L243" si="4">SUM(F237:K237)</f>
        <v>394909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122040</v>
      </c>
      <c r="G238" s="18">
        <v>64419</v>
      </c>
      <c r="H238" s="18">
        <v>12509</v>
      </c>
      <c r="I238" s="18">
        <v>42396</v>
      </c>
      <c r="J238" s="18">
        <v>63230</v>
      </c>
      <c r="K238" s="18">
        <v>447</v>
      </c>
      <c r="L238" s="19">
        <f t="shared" si="4"/>
        <v>305041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2925</v>
      </c>
      <c r="G239" s="18">
        <v>28461</v>
      </c>
      <c r="H239" s="18">
        <v>332707</v>
      </c>
      <c r="I239" s="18">
        <v>28</v>
      </c>
      <c r="J239" s="18">
        <v>0</v>
      </c>
      <c r="K239" s="18">
        <v>4465</v>
      </c>
      <c r="L239" s="19">
        <f t="shared" si="4"/>
        <v>368586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224066</v>
      </c>
      <c r="G240" s="18">
        <v>93550</v>
      </c>
      <c r="H240" s="18">
        <v>9157</v>
      </c>
      <c r="I240" s="18">
        <v>3589</v>
      </c>
      <c r="J240" s="18">
        <v>577</v>
      </c>
      <c r="K240" s="18">
        <v>8472</v>
      </c>
      <c r="L240" s="19">
        <f t="shared" si="4"/>
        <v>339411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>
        <v>3023</v>
      </c>
      <c r="J241" s="18"/>
      <c r="K241" s="18"/>
      <c r="L241" s="19">
        <f t="shared" si="4"/>
        <v>3023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57627</v>
      </c>
      <c r="G242" s="18">
        <v>22549</v>
      </c>
      <c r="H242" s="18">
        <v>394850</v>
      </c>
      <c r="I242" s="18">
        <v>216946</v>
      </c>
      <c r="J242" s="18"/>
      <c r="K242" s="18"/>
      <c r="L242" s="19">
        <f t="shared" si="4"/>
        <v>691972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294889</v>
      </c>
      <c r="I243" s="18"/>
      <c r="J243" s="18"/>
      <c r="K243" s="18"/>
      <c r="L243" s="19">
        <f t="shared" si="4"/>
        <v>294889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3203641</v>
      </c>
      <c r="G246" s="41">
        <f t="shared" si="5"/>
        <v>1592569</v>
      </c>
      <c r="H246" s="41">
        <f t="shared" si="5"/>
        <v>1752204</v>
      </c>
      <c r="I246" s="41">
        <f t="shared" si="5"/>
        <v>332540</v>
      </c>
      <c r="J246" s="41">
        <f t="shared" si="5"/>
        <v>96649</v>
      </c>
      <c r="K246" s="41">
        <f t="shared" si="5"/>
        <v>36703</v>
      </c>
      <c r="L246" s="41">
        <f t="shared" si="5"/>
        <v>7014306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9221404</v>
      </c>
      <c r="G256" s="41">
        <f t="shared" si="8"/>
        <v>4544555</v>
      </c>
      <c r="H256" s="41">
        <f t="shared" si="8"/>
        <v>3791008</v>
      </c>
      <c r="I256" s="41">
        <f t="shared" si="8"/>
        <v>960070</v>
      </c>
      <c r="J256" s="41">
        <f t="shared" si="8"/>
        <v>226142</v>
      </c>
      <c r="K256" s="41">
        <f t="shared" si="8"/>
        <v>63429</v>
      </c>
      <c r="L256" s="41">
        <f t="shared" si="8"/>
        <v>18806608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2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71">
        <v>740000</v>
      </c>
      <c r="L259" s="19">
        <f>SUM(F259:K259)</f>
        <v>740000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271">
        <v>360042</v>
      </c>
      <c r="L260" s="19">
        <f>SUM(F260:K260)</f>
        <v>360042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61975</v>
      </c>
      <c r="L262" s="19">
        <f>SUM(F262:K262)</f>
        <v>61975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1212017</v>
      </c>
      <c r="L269" s="41">
        <f t="shared" si="9"/>
        <v>1212017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9221404</v>
      </c>
      <c r="G270" s="42">
        <f t="shared" si="11"/>
        <v>4544555</v>
      </c>
      <c r="H270" s="42">
        <f t="shared" si="11"/>
        <v>3791008</v>
      </c>
      <c r="I270" s="42">
        <f t="shared" si="11"/>
        <v>960070</v>
      </c>
      <c r="J270" s="42">
        <f t="shared" si="11"/>
        <v>226142</v>
      </c>
      <c r="K270" s="42">
        <f t="shared" si="11"/>
        <v>1275446</v>
      </c>
      <c r="L270" s="42">
        <f t="shared" si="11"/>
        <v>20018625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630613</v>
      </c>
      <c r="G275" s="18">
        <v>176003</v>
      </c>
      <c r="H275" s="18">
        <v>179135</v>
      </c>
      <c r="I275" s="18">
        <f>82323+16333</f>
        <v>98656</v>
      </c>
      <c r="J275" s="18">
        <v>116724</v>
      </c>
      <c r="K275" s="18"/>
      <c r="L275" s="19">
        <f>SUM(F275:K275)</f>
        <v>1201131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630613</v>
      </c>
      <c r="G289" s="42">
        <f t="shared" si="13"/>
        <v>176003</v>
      </c>
      <c r="H289" s="42">
        <f t="shared" si="13"/>
        <v>179135</v>
      </c>
      <c r="I289" s="42">
        <f t="shared" si="13"/>
        <v>98656</v>
      </c>
      <c r="J289" s="42">
        <f t="shared" si="13"/>
        <v>116724</v>
      </c>
      <c r="K289" s="42">
        <f t="shared" si="13"/>
        <v>0</v>
      </c>
      <c r="L289" s="41">
        <f t="shared" si="13"/>
        <v>1201131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207017</v>
      </c>
      <c r="G294" s="18">
        <v>24104</v>
      </c>
      <c r="H294" s="18">
        <v>16351</v>
      </c>
      <c r="I294" s="18">
        <v>14555</v>
      </c>
      <c r="J294" s="18">
        <v>0</v>
      </c>
      <c r="K294" s="18"/>
      <c r="L294" s="19">
        <f>SUM(F294:K294)</f>
        <v>262027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207017</v>
      </c>
      <c r="G308" s="42">
        <f t="shared" si="15"/>
        <v>24104</v>
      </c>
      <c r="H308" s="42">
        <f t="shared" si="15"/>
        <v>16351</v>
      </c>
      <c r="I308" s="42">
        <f t="shared" si="15"/>
        <v>14555</v>
      </c>
      <c r="J308" s="42">
        <f t="shared" si="15"/>
        <v>0</v>
      </c>
      <c r="K308" s="42">
        <f t="shared" si="15"/>
        <v>0</v>
      </c>
      <c r="L308" s="41">
        <f t="shared" si="15"/>
        <v>262027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172232</v>
      </c>
      <c r="G313" s="18">
        <v>35012</v>
      </c>
      <c r="H313" s="18">
        <v>113486</v>
      </c>
      <c r="I313" s="18">
        <f>39640+16886</f>
        <v>56526</v>
      </c>
      <c r="J313" s="18">
        <v>5006</v>
      </c>
      <c r="K313" s="18"/>
      <c r="L313" s="19">
        <f>SUM(F313:K313)</f>
        <v>382262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172232</v>
      </c>
      <c r="G327" s="42">
        <f t="shared" si="17"/>
        <v>35012</v>
      </c>
      <c r="H327" s="42">
        <f t="shared" si="17"/>
        <v>113486</v>
      </c>
      <c r="I327" s="42">
        <f t="shared" si="17"/>
        <v>56526</v>
      </c>
      <c r="J327" s="42">
        <f t="shared" si="17"/>
        <v>5006</v>
      </c>
      <c r="K327" s="42">
        <f t="shared" si="17"/>
        <v>0</v>
      </c>
      <c r="L327" s="41">
        <f t="shared" si="17"/>
        <v>382262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1009862</v>
      </c>
      <c r="G337" s="41">
        <f t="shared" si="20"/>
        <v>235119</v>
      </c>
      <c r="H337" s="41">
        <f t="shared" si="20"/>
        <v>308972</v>
      </c>
      <c r="I337" s="41">
        <f t="shared" si="20"/>
        <v>169737</v>
      </c>
      <c r="J337" s="41">
        <f t="shared" si="20"/>
        <v>121730</v>
      </c>
      <c r="K337" s="41">
        <f t="shared" si="20"/>
        <v>0</v>
      </c>
      <c r="L337" s="41">
        <f t="shared" si="20"/>
        <v>1845420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1009862</v>
      </c>
      <c r="G351" s="41">
        <f>G337</f>
        <v>235119</v>
      </c>
      <c r="H351" s="41">
        <f>H337</f>
        <v>308972</v>
      </c>
      <c r="I351" s="41">
        <f>I337</f>
        <v>169737</v>
      </c>
      <c r="J351" s="41">
        <f>J337</f>
        <v>121730</v>
      </c>
      <c r="K351" s="47">
        <f>K337+K350</f>
        <v>0</v>
      </c>
      <c r="L351" s="41">
        <f>L337+L350</f>
        <v>1845420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77887</v>
      </c>
      <c r="G357" s="272">
        <v>35076</v>
      </c>
      <c r="H357" s="272">
        <v>1407</v>
      </c>
      <c r="I357" s="18">
        <f>104003+236</f>
        <v>104239</v>
      </c>
      <c r="J357" s="18"/>
      <c r="K357" s="18"/>
      <c r="L357" s="13">
        <f>SUM(F357:K357)</f>
        <v>218609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63839</v>
      </c>
      <c r="G358" s="18">
        <v>29577</v>
      </c>
      <c r="H358" s="18">
        <v>770</v>
      </c>
      <c r="I358" s="18">
        <v>82786</v>
      </c>
      <c r="J358" s="18"/>
      <c r="K358" s="18"/>
      <c r="L358" s="19">
        <f>SUM(F358:K358)</f>
        <v>176972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73660</v>
      </c>
      <c r="G359" s="18">
        <v>48703</v>
      </c>
      <c r="H359" s="18">
        <v>1121</v>
      </c>
      <c r="I359" s="18">
        <v>94011</v>
      </c>
      <c r="J359" s="18"/>
      <c r="K359" s="18"/>
      <c r="L359" s="19">
        <f>SUM(F359:K359)</f>
        <v>217495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215386</v>
      </c>
      <c r="G361" s="47">
        <f t="shared" si="22"/>
        <v>113356</v>
      </c>
      <c r="H361" s="47">
        <f t="shared" si="22"/>
        <v>3298</v>
      </c>
      <c r="I361" s="47">
        <f t="shared" si="22"/>
        <v>281036</v>
      </c>
      <c r="J361" s="47">
        <f t="shared" si="22"/>
        <v>0</v>
      </c>
      <c r="K361" s="47">
        <f t="shared" si="22"/>
        <v>0</v>
      </c>
      <c r="L361" s="47">
        <f t="shared" si="22"/>
        <v>613076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15423+73890+236</f>
        <v>89549</v>
      </c>
      <c r="G366" s="18">
        <f>8325+60937+1</f>
        <v>69263</v>
      </c>
      <c r="H366" s="18">
        <f>8792+71756</f>
        <v>80548</v>
      </c>
      <c r="I366" s="56">
        <f>SUM(F366:H366)</f>
        <v>239360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14690</v>
      </c>
      <c r="G367" s="63">
        <v>13523</v>
      </c>
      <c r="H367" s="63">
        <v>13463</v>
      </c>
      <c r="I367" s="56">
        <f>SUM(F367:H367)</f>
        <v>41676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104239</v>
      </c>
      <c r="G368" s="47">
        <f>SUM(G366:G367)</f>
        <v>82786</v>
      </c>
      <c r="H368" s="47">
        <f>SUM(H366:H367)</f>
        <v>94011</v>
      </c>
      <c r="I368" s="47">
        <f>SUM(I366:I367)</f>
        <v>281036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151</v>
      </c>
      <c r="I395" s="18"/>
      <c r="J395" s="24" t="s">
        <v>289</v>
      </c>
      <c r="K395" s="24" t="s">
        <v>289</v>
      </c>
      <c r="L395" s="56">
        <f t="shared" si="26"/>
        <v>151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78</v>
      </c>
      <c r="I396" s="18"/>
      <c r="J396" s="24" t="s">
        <v>289</v>
      </c>
      <c r="K396" s="24" t="s">
        <v>289</v>
      </c>
      <c r="L396" s="56">
        <f t="shared" si="26"/>
        <v>50078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229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50229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229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50229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355540+2290</f>
        <v>357830</v>
      </c>
      <c r="H438" s="18"/>
      <c r="I438" s="56">
        <f t="shared" ref="I438:I444" si="33">SUM(F438:H438)</f>
        <v>357830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357830</v>
      </c>
      <c r="H445" s="13">
        <f>SUM(H438:H444)</f>
        <v>0</v>
      </c>
      <c r="I445" s="13">
        <f>SUM(I438:I444)</f>
        <v>357830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G438</f>
        <v>357830</v>
      </c>
      <c r="H458" s="18"/>
      <c r="I458" s="56">
        <f t="shared" si="34"/>
        <v>357830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357830</v>
      </c>
      <c r="H459" s="83">
        <f>SUM(H453:H458)</f>
        <v>0</v>
      </c>
      <c r="I459" s="83">
        <f>SUM(I453:I458)</f>
        <v>357830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357830</v>
      </c>
      <c r="H460" s="42">
        <f>H451+H459</f>
        <v>0</v>
      </c>
      <c r="I460" s="42">
        <f>I451+I459</f>
        <v>357830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662413-219667</f>
        <v>442746</v>
      </c>
      <c r="G464" s="18">
        <f>-47119-856+26298</f>
        <v>-21677</v>
      </c>
      <c r="H464" s="18">
        <v>10536</v>
      </c>
      <c r="I464" s="18"/>
      <c r="J464" s="18">
        <v>307601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20354654</v>
      </c>
      <c r="G467" s="18">
        <f>G192</f>
        <v>643609</v>
      </c>
      <c r="H467" s="18">
        <f>H192</f>
        <v>1846278</v>
      </c>
      <c r="I467" s="18"/>
      <c r="J467" s="18">
        <f>J192</f>
        <v>50229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20354654</v>
      </c>
      <c r="G469" s="53">
        <f>SUM(G467:G468)</f>
        <v>643609</v>
      </c>
      <c r="H469" s="53">
        <f>SUM(H467:H468)</f>
        <v>1846278</v>
      </c>
      <c r="I469" s="53">
        <f>SUM(I467:I468)</f>
        <v>0</v>
      </c>
      <c r="J469" s="53">
        <f>SUM(J467:J468)</f>
        <v>50229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20018625</v>
      </c>
      <c r="G471" s="18">
        <f>L361</f>
        <v>613076</v>
      </c>
      <c r="H471" s="18">
        <f>L351</f>
        <v>1845420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20018625</v>
      </c>
      <c r="G473" s="53">
        <f>SUM(G471:G472)</f>
        <v>613076</v>
      </c>
      <c r="H473" s="53">
        <f>SUM(H471:H472)</f>
        <v>1845420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778775</v>
      </c>
      <c r="G475" s="53">
        <f>(G464+G469)- G473</f>
        <v>8856</v>
      </c>
      <c r="H475" s="53">
        <f>(H464+H469)- H473</f>
        <v>11394</v>
      </c>
      <c r="I475" s="53">
        <f>(I464+I469)- I473</f>
        <v>0</v>
      </c>
      <c r="J475" s="53">
        <f>(J464+J469)- J473</f>
        <v>357830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14750000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9570000</v>
      </c>
      <c r="G494" s="18"/>
      <c r="H494" s="18"/>
      <c r="I494" s="18"/>
      <c r="J494" s="18"/>
      <c r="K494" s="53">
        <f>SUM(F494:J494)</f>
        <v>9570000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740000</v>
      </c>
      <c r="G496" s="18"/>
      <c r="H496" s="18"/>
      <c r="I496" s="18"/>
      <c r="J496" s="18"/>
      <c r="K496" s="53">
        <f t="shared" si="35"/>
        <v>740000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8830000</v>
      </c>
      <c r="G497" s="205"/>
      <c r="H497" s="205"/>
      <c r="I497" s="205"/>
      <c r="J497" s="205"/>
      <c r="K497" s="206">
        <f t="shared" si="35"/>
        <v>8830000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1839604</v>
      </c>
      <c r="G498" s="18"/>
      <c r="H498" s="18"/>
      <c r="I498" s="18"/>
      <c r="J498" s="18"/>
      <c r="K498" s="53">
        <f t="shared" si="35"/>
        <v>1839604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10669604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10669604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740000</v>
      </c>
      <c r="G500" s="205"/>
      <c r="H500" s="205"/>
      <c r="I500" s="205"/>
      <c r="J500" s="205"/>
      <c r="K500" s="206">
        <f t="shared" si="35"/>
        <v>740000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330443</v>
      </c>
      <c r="G501" s="18"/>
      <c r="H501" s="18"/>
      <c r="I501" s="18"/>
      <c r="J501" s="18"/>
      <c r="K501" s="53">
        <f t="shared" si="35"/>
        <v>330443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1070443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1070443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878657</v>
      </c>
      <c r="G520" s="18">
        <v>525330</v>
      </c>
      <c r="H520" s="18">
        <v>35057</v>
      </c>
      <c r="I520" s="18">
        <v>5630</v>
      </c>
      <c r="J520" s="18">
        <v>335</v>
      </c>
      <c r="K520" s="18">
        <v>183</v>
      </c>
      <c r="L520" s="88">
        <f>SUM(F520:K520)</f>
        <v>1445192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429929</v>
      </c>
      <c r="G521" s="18">
        <v>191990</v>
      </c>
      <c r="H521" s="18">
        <v>101504</v>
      </c>
      <c r="I521" s="18">
        <v>1007</v>
      </c>
      <c r="J521" s="18">
        <v>450</v>
      </c>
      <c r="K521" s="18">
        <v>100</v>
      </c>
      <c r="L521" s="88">
        <f>SUM(F521:K521)</f>
        <v>724980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675933</v>
      </c>
      <c r="G522" s="18">
        <v>387019</v>
      </c>
      <c r="H522" s="18">
        <v>562619</v>
      </c>
      <c r="I522" s="18">
        <v>8425</v>
      </c>
      <c r="J522" s="18">
        <v>1338</v>
      </c>
      <c r="K522" s="18">
        <v>146</v>
      </c>
      <c r="L522" s="88">
        <f>SUM(F522:K522)</f>
        <v>1635480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1984519</v>
      </c>
      <c r="G523" s="108">
        <f t="shared" ref="G523:L523" si="36">SUM(G520:G522)</f>
        <v>1104339</v>
      </c>
      <c r="H523" s="108">
        <f t="shared" si="36"/>
        <v>699180</v>
      </c>
      <c r="I523" s="108">
        <f t="shared" si="36"/>
        <v>15062</v>
      </c>
      <c r="J523" s="108">
        <f t="shared" si="36"/>
        <v>2123</v>
      </c>
      <c r="K523" s="108">
        <f t="shared" si="36"/>
        <v>429</v>
      </c>
      <c r="L523" s="89">
        <f t="shared" si="36"/>
        <v>3805652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263333</v>
      </c>
      <c r="G525" s="18">
        <v>145185</v>
      </c>
      <c r="H525" s="18">
        <v>660</v>
      </c>
      <c r="I525" s="18">
        <v>1483</v>
      </c>
      <c r="J525" s="18"/>
      <c r="K525" s="18"/>
      <c r="L525" s="88">
        <f>SUM(F525:K525)</f>
        <v>410661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87796</v>
      </c>
      <c r="G526" s="18">
        <v>42801</v>
      </c>
      <c r="H526" s="18">
        <v>361</v>
      </c>
      <c r="I526" s="18">
        <v>582</v>
      </c>
      <c r="J526" s="18">
        <v>215</v>
      </c>
      <c r="K526" s="18"/>
      <c r="L526" s="88">
        <f>SUM(F526:K526)</f>
        <v>131755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118950</v>
      </c>
      <c r="G527" s="18">
        <v>34738</v>
      </c>
      <c r="H527" s="18">
        <v>526</v>
      </c>
      <c r="I527" s="18">
        <v>1071</v>
      </c>
      <c r="J527" s="18"/>
      <c r="K527" s="18"/>
      <c r="L527" s="88">
        <f>SUM(F527:K527)</f>
        <v>155285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470079</v>
      </c>
      <c r="G528" s="89">
        <f t="shared" ref="G528:L528" si="37">SUM(G525:G527)</f>
        <v>222724</v>
      </c>
      <c r="H528" s="89">
        <f t="shared" si="37"/>
        <v>1547</v>
      </c>
      <c r="I528" s="89">
        <f t="shared" si="37"/>
        <v>3136</v>
      </c>
      <c r="J528" s="89">
        <f t="shared" si="37"/>
        <v>215</v>
      </c>
      <c r="K528" s="89">
        <f t="shared" si="37"/>
        <v>0</v>
      </c>
      <c r="L528" s="89">
        <f t="shared" si="37"/>
        <v>697701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143022</v>
      </c>
      <c r="G530" s="18">
        <v>45506</v>
      </c>
      <c r="H530" s="18">
        <v>474</v>
      </c>
      <c r="I530" s="18"/>
      <c r="J530" s="18"/>
      <c r="K530" s="18">
        <v>183</v>
      </c>
      <c r="L530" s="88">
        <f>SUM(F530:K530)</f>
        <v>189185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78243</v>
      </c>
      <c r="G531" s="18">
        <v>24895</v>
      </c>
      <c r="H531" s="18">
        <v>259</v>
      </c>
      <c r="I531" s="18"/>
      <c r="J531" s="18"/>
      <c r="K531" s="18">
        <v>100</v>
      </c>
      <c r="L531" s="88">
        <f>SUM(F531:K531)</f>
        <v>103497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114061</v>
      </c>
      <c r="G532" s="18">
        <v>36292</v>
      </c>
      <c r="H532" s="18">
        <v>378</v>
      </c>
      <c r="I532" s="18"/>
      <c r="J532" s="18"/>
      <c r="K532" s="18">
        <v>147</v>
      </c>
      <c r="L532" s="88">
        <f>SUM(F532:K532)</f>
        <v>150878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335326</v>
      </c>
      <c r="G533" s="89">
        <f t="shared" ref="G533:L533" si="38">SUM(G530:G532)</f>
        <v>106693</v>
      </c>
      <c r="H533" s="89">
        <f t="shared" si="38"/>
        <v>1111</v>
      </c>
      <c r="I533" s="89">
        <f t="shared" si="38"/>
        <v>0</v>
      </c>
      <c r="J533" s="89">
        <f t="shared" si="38"/>
        <v>0</v>
      </c>
      <c r="K533" s="89">
        <f t="shared" si="38"/>
        <v>430</v>
      </c>
      <c r="L533" s="89">
        <f t="shared" si="38"/>
        <v>443560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78025</v>
      </c>
      <c r="I540" s="18"/>
      <c r="J540" s="18"/>
      <c r="K540" s="18"/>
      <c r="L540" s="88">
        <f>SUM(F540:K540)</f>
        <v>78025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41770</v>
      </c>
      <c r="I541" s="18"/>
      <c r="J541" s="18"/>
      <c r="K541" s="18"/>
      <c r="L541" s="88">
        <f>SUM(F541:K541)</f>
        <v>41770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60891</v>
      </c>
      <c r="I542" s="18"/>
      <c r="J542" s="18"/>
      <c r="K542" s="18"/>
      <c r="L542" s="88">
        <f>SUM(F542:K542)</f>
        <v>60891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180686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180686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2789924</v>
      </c>
      <c r="G544" s="89">
        <f t="shared" ref="G544:L544" si="41">G523+G528+G533+G538+G543</f>
        <v>1433756</v>
      </c>
      <c r="H544" s="89">
        <f t="shared" si="41"/>
        <v>882524</v>
      </c>
      <c r="I544" s="89">
        <f t="shared" si="41"/>
        <v>18198</v>
      </c>
      <c r="J544" s="89">
        <f t="shared" si="41"/>
        <v>2338</v>
      </c>
      <c r="K544" s="89">
        <f t="shared" si="41"/>
        <v>859</v>
      </c>
      <c r="L544" s="89">
        <f t="shared" si="41"/>
        <v>5127599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1445192</v>
      </c>
      <c r="G548" s="87">
        <f>L525</f>
        <v>410661</v>
      </c>
      <c r="H548" s="87">
        <f>L530</f>
        <v>189185</v>
      </c>
      <c r="I548" s="87">
        <f>L535</f>
        <v>0</v>
      </c>
      <c r="J548" s="87">
        <f>L540</f>
        <v>78025</v>
      </c>
      <c r="K548" s="87">
        <f>SUM(F548:J548)</f>
        <v>2123063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724980</v>
      </c>
      <c r="G549" s="87">
        <f>L526</f>
        <v>131755</v>
      </c>
      <c r="H549" s="87">
        <f>L531</f>
        <v>103497</v>
      </c>
      <c r="I549" s="87">
        <f>L536</f>
        <v>0</v>
      </c>
      <c r="J549" s="87">
        <f>L541</f>
        <v>41770</v>
      </c>
      <c r="K549" s="87">
        <f>SUM(F549:J549)</f>
        <v>1002002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1635480</v>
      </c>
      <c r="G550" s="87">
        <f>L527</f>
        <v>155285</v>
      </c>
      <c r="H550" s="87">
        <f>L532</f>
        <v>150878</v>
      </c>
      <c r="I550" s="87">
        <f>L537</f>
        <v>0</v>
      </c>
      <c r="J550" s="87">
        <f>L542</f>
        <v>60891</v>
      </c>
      <c r="K550" s="87">
        <f>SUM(F550:J550)</f>
        <v>2002534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3805652</v>
      </c>
      <c r="G551" s="89">
        <f t="shared" si="42"/>
        <v>697701</v>
      </c>
      <c r="H551" s="89">
        <f t="shared" si="42"/>
        <v>443560</v>
      </c>
      <c r="I551" s="89">
        <f t="shared" si="42"/>
        <v>0</v>
      </c>
      <c r="J551" s="89">
        <f t="shared" si="42"/>
        <v>180686</v>
      </c>
      <c r="K551" s="89">
        <f t="shared" si="42"/>
        <v>5127599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9303</v>
      </c>
      <c r="I574" s="87">
        <f>SUM(F574:H574)</f>
        <v>9303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100394</v>
      </c>
      <c r="H581" s="18">
        <v>557926</v>
      </c>
      <c r="I581" s="87">
        <f t="shared" si="47"/>
        <v>658320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77079</v>
      </c>
      <c r="I583" s="87">
        <f t="shared" si="47"/>
        <v>77079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192182</v>
      </c>
      <c r="I590" s="18">
        <v>105137</v>
      </c>
      <c r="J590" s="18">
        <v>153268</v>
      </c>
      <c r="K590" s="104">
        <f t="shared" ref="K590:K596" si="48">SUM(H590:J590)</f>
        <v>450587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78025</v>
      </c>
      <c r="I591" s="18">
        <v>41769</v>
      </c>
      <c r="J591" s="18">
        <v>60891</v>
      </c>
      <c r="K591" s="104">
        <f t="shared" si="48"/>
        <v>180685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42351</v>
      </c>
      <c r="K592" s="104">
        <f t="shared" si="48"/>
        <v>42351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31319</v>
      </c>
      <c r="K593" s="104">
        <f t="shared" si="48"/>
        <v>31319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12026</v>
      </c>
      <c r="I594" s="18">
        <v>27384</v>
      </c>
      <c r="J594" s="18">
        <v>7060</v>
      </c>
      <c r="K594" s="104">
        <f t="shared" si="48"/>
        <v>46470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282233</v>
      </c>
      <c r="I597" s="108">
        <f>SUM(I590:I596)</f>
        <v>174290</v>
      </c>
      <c r="J597" s="108">
        <f>SUM(J590:J596)</f>
        <v>294889</v>
      </c>
      <c r="K597" s="108">
        <f>SUM(K590:K596)</f>
        <v>751412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74813+116724</f>
        <v>191537</v>
      </c>
      <c r="I603" s="18">
        <v>54680</v>
      </c>
      <c r="J603" s="18">
        <f>96649+5006</f>
        <v>101655</v>
      </c>
      <c r="K603" s="104">
        <f>SUM(H603:J603)</f>
        <v>347872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191537</v>
      </c>
      <c r="I604" s="108">
        <f>SUM(I601:I603)</f>
        <v>54680</v>
      </c>
      <c r="J604" s="108">
        <f>SUM(J601:J603)</f>
        <v>101655</v>
      </c>
      <c r="K604" s="108">
        <f>SUM(K601:K603)</f>
        <v>347872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1258142</v>
      </c>
      <c r="H616" s="109">
        <f>SUM(F51)</f>
        <v>1258142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70769</v>
      </c>
      <c r="H617" s="109">
        <f>SUM(G51)</f>
        <v>70769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658888</v>
      </c>
      <c r="H618" s="109">
        <f>SUM(H51)</f>
        <v>658888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357830</v>
      </c>
      <c r="H620" s="109">
        <f>SUM(J51)</f>
        <v>357830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778775</v>
      </c>
      <c r="H621" s="109">
        <f>F475</f>
        <v>778775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8856</v>
      </c>
      <c r="H622" s="109">
        <f>G475</f>
        <v>8856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11394</v>
      </c>
      <c r="H623" s="109">
        <f>H475</f>
        <v>11394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357830</v>
      </c>
      <c r="H625" s="109">
        <f>J475</f>
        <v>357830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20354654</v>
      </c>
      <c r="H626" s="104">
        <f>SUM(F467)</f>
        <v>20354654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643609</v>
      </c>
      <c r="H627" s="104">
        <f>SUM(G467)</f>
        <v>643609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1846278</v>
      </c>
      <c r="H628" s="104">
        <f>SUM(H467)</f>
        <v>1846278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50229</v>
      </c>
      <c r="H630" s="104">
        <f>SUM(J467)</f>
        <v>50229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20018625</v>
      </c>
      <c r="H631" s="104">
        <f>SUM(F471)</f>
        <v>20018625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1845420</v>
      </c>
      <c r="H632" s="104">
        <f>SUM(H471)</f>
        <v>1845420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281036</v>
      </c>
      <c r="H633" s="104">
        <f>I368</f>
        <v>281036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613076</v>
      </c>
      <c r="H634" s="104">
        <f>SUM(G471)</f>
        <v>613076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50229</v>
      </c>
      <c r="H636" s="164">
        <f>SUM(J467)</f>
        <v>50229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357830</v>
      </c>
      <c r="H639" s="104">
        <f>SUM(G460)</f>
        <v>357830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357830</v>
      </c>
      <c r="H641" s="104">
        <f>SUM(I460)</f>
        <v>357830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229</v>
      </c>
      <c r="H643" s="104">
        <f>H407</f>
        <v>229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50229</v>
      </c>
      <c r="H645" s="104">
        <f>L407</f>
        <v>50229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751412</v>
      </c>
      <c r="H646" s="104">
        <f>L207+L225+L243</f>
        <v>751412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347872</v>
      </c>
      <c r="H647" s="104">
        <f>(J256+J337)-(J254+J335)</f>
        <v>347872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282233</v>
      </c>
      <c r="H648" s="104">
        <f>H597</f>
        <v>282233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174290</v>
      </c>
      <c r="H649" s="104">
        <f>I597</f>
        <v>174290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294889</v>
      </c>
      <c r="H650" s="104">
        <f>J597</f>
        <v>294889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61975</v>
      </c>
      <c r="H651" s="104">
        <f>K262+K344</f>
        <v>61975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8750924</v>
      </c>
      <c r="G659" s="19">
        <f>(L228+L308+L358)</f>
        <v>4900117</v>
      </c>
      <c r="H659" s="19">
        <f>(L246+L327+L359)</f>
        <v>7614063</v>
      </c>
      <c r="I659" s="19">
        <f>SUM(F659:H659)</f>
        <v>21265104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94578.21306167588</v>
      </c>
      <c r="G660" s="19">
        <f>(L358/IF(SUM(L357:L359)=0,1,SUM(L357:L359))*(SUM(G96:G109)))</f>
        <v>76564.530837938524</v>
      </c>
      <c r="H660" s="19">
        <f>(L359/IF(SUM(L357:L359)=0,1,SUM(L357:L359))*(SUM(G96:G109)))</f>
        <v>94096.256100385595</v>
      </c>
      <c r="I660" s="19">
        <f>SUM(F660:H660)</f>
        <v>265239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282233</v>
      </c>
      <c r="G661" s="19">
        <f>(L225+L305)-(J225+J305)</f>
        <v>174290</v>
      </c>
      <c r="H661" s="19">
        <f>(L243+L324)-(J243+J324)</f>
        <v>294889</v>
      </c>
      <c r="I661" s="19">
        <f>SUM(F661:H661)</f>
        <v>751412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191537</v>
      </c>
      <c r="G662" s="200">
        <f>SUM(G574:G586)+SUM(I601:I603)+L611</f>
        <v>155074</v>
      </c>
      <c r="H662" s="200">
        <f>SUM(H574:H586)+SUM(J601:J603)+L612</f>
        <v>745963</v>
      </c>
      <c r="I662" s="19">
        <f>SUM(F662:H662)</f>
        <v>1092574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8182575.7869383246</v>
      </c>
      <c r="G663" s="19">
        <f>G659-SUM(G660:G662)</f>
        <v>4494188.4691620618</v>
      </c>
      <c r="H663" s="19">
        <f>H659-SUM(H660:H662)</f>
        <v>6479114.7438996146</v>
      </c>
      <c r="I663" s="19">
        <f>I659-SUM(I660:I662)</f>
        <v>19155879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552.33000000000004</v>
      </c>
      <c r="G664" s="249">
        <v>313.58999999999997</v>
      </c>
      <c r="H664" s="249">
        <v>432.4</v>
      </c>
      <c r="I664" s="19">
        <f>SUM(F664:H664)</f>
        <v>1298.3200000000002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14814.65</v>
      </c>
      <c r="G666" s="19">
        <f>ROUND(G663/G664,2)</f>
        <v>14331.42</v>
      </c>
      <c r="H666" s="19">
        <f>ROUND(H663/H664,2)</f>
        <v>14984.08</v>
      </c>
      <c r="I666" s="19">
        <f>ROUND(I663/I664,2)</f>
        <v>14754.36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-12.87</v>
      </c>
      <c r="I669" s="19">
        <f>SUM(F669:H669)</f>
        <v>-12.87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14814.65</v>
      </c>
      <c r="G671" s="19">
        <f>ROUND((G663+G668)/(G664+G669),2)</f>
        <v>14331.42</v>
      </c>
      <c r="H671" s="19">
        <f>ROUND((H663+H668)/(H664+H669),2)</f>
        <v>15443.75</v>
      </c>
      <c r="I671" s="19">
        <f>ROUND((I663+I668)/(I664+I669),2)</f>
        <v>14902.08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 xml:space="preserve">HILLSBORO-DEERING COOPERATIVE 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6034083</v>
      </c>
      <c r="C9" s="230">
        <f>'DOE25'!G196+'DOE25'!G214+'DOE25'!G232+'DOE25'!G275+'DOE25'!G294+'DOE25'!G313</f>
        <v>2568459</v>
      </c>
    </row>
    <row r="10" spans="1:3" x14ac:dyDescent="0.2">
      <c r="A10" t="s">
        <v>779</v>
      </c>
      <c r="B10" s="241">
        <v>5579597</v>
      </c>
      <c r="C10" s="241">
        <v>2422940</v>
      </c>
    </row>
    <row r="11" spans="1:3" x14ac:dyDescent="0.2">
      <c r="A11" t="s">
        <v>780</v>
      </c>
      <c r="B11" s="241">
        <v>244446</v>
      </c>
      <c r="C11" s="241">
        <v>108045</v>
      </c>
    </row>
    <row r="12" spans="1:3" x14ac:dyDescent="0.2">
      <c r="A12" t="s">
        <v>781</v>
      </c>
      <c r="B12" s="241">
        <v>210040</v>
      </c>
      <c r="C12" s="241">
        <v>37474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6034083</v>
      </c>
      <c r="C13" s="232">
        <f>SUM(C10:C12)</f>
        <v>2568459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1984519</v>
      </c>
      <c r="C18" s="230">
        <f>'DOE25'!G197+'DOE25'!G215+'DOE25'!G233+'DOE25'!G276+'DOE25'!G295+'DOE25'!G314</f>
        <v>1104339</v>
      </c>
    </row>
    <row r="19" spans="1:3" x14ac:dyDescent="0.2">
      <c r="A19" t="s">
        <v>779</v>
      </c>
      <c r="B19" s="241">
        <v>1153408</v>
      </c>
      <c r="C19" s="241">
        <v>842240</v>
      </c>
    </row>
    <row r="20" spans="1:3" x14ac:dyDescent="0.2">
      <c r="A20" t="s">
        <v>780</v>
      </c>
      <c r="B20" s="241">
        <v>545092</v>
      </c>
      <c r="C20" s="241">
        <v>200880</v>
      </c>
    </row>
    <row r="21" spans="1:3" x14ac:dyDescent="0.2">
      <c r="A21" t="s">
        <v>781</v>
      </c>
      <c r="B21" s="241">
        <v>286019</v>
      </c>
      <c r="C21" s="241">
        <v>61219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1984519</v>
      </c>
      <c r="C22" s="232">
        <f>SUM(C19:C21)</f>
        <v>1104339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91200</v>
      </c>
      <c r="C36" s="236">
        <f>'DOE25'!G199+'DOE25'!G217+'DOE25'!G235+'DOE25'!G278+'DOE25'!G297+'DOE25'!G316</f>
        <v>11670</v>
      </c>
    </row>
    <row r="37" spans="1:3" x14ac:dyDescent="0.2">
      <c r="A37" t="s">
        <v>779</v>
      </c>
      <c r="B37" s="241">
        <v>72900</v>
      </c>
      <c r="C37" s="241">
        <v>10330</v>
      </c>
    </row>
    <row r="38" spans="1:3" x14ac:dyDescent="0.2">
      <c r="A38" t="s">
        <v>780</v>
      </c>
      <c r="B38" s="241">
        <f>+B36-B37</f>
        <v>18300</v>
      </c>
      <c r="C38" s="241">
        <f>+C36-C37</f>
        <v>1340</v>
      </c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91200</v>
      </c>
      <c r="C40" s="232">
        <f>SUM(C37:C39)</f>
        <v>11670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 xml:space="preserve">HILLSBORO-DEERING COOPERATIVE 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11687136</v>
      </c>
      <c r="D5" s="20">
        <f>SUM('DOE25'!L196:L199)+SUM('DOE25'!L214:L217)+SUM('DOE25'!L232:L235)-F5-G5</f>
        <v>11606290</v>
      </c>
      <c r="E5" s="244"/>
      <c r="F5" s="256">
        <f>SUM('DOE25'!J196:J199)+SUM('DOE25'!J214:J217)+SUM('DOE25'!J232:J235)</f>
        <v>42350</v>
      </c>
      <c r="G5" s="53">
        <f>SUM('DOE25'!K196:K199)+SUM('DOE25'!K214:K217)+SUM('DOE25'!K232:K235)</f>
        <v>38496</v>
      </c>
      <c r="H5" s="260"/>
    </row>
    <row r="6" spans="1:9" x14ac:dyDescent="0.2">
      <c r="A6" s="32">
        <v>2100</v>
      </c>
      <c r="B6" t="s">
        <v>801</v>
      </c>
      <c r="C6" s="246">
        <f t="shared" si="0"/>
        <v>1445824</v>
      </c>
      <c r="D6" s="20">
        <f>'DOE25'!L201+'DOE25'!L219+'DOE25'!L237-F6-G6</f>
        <v>1445608</v>
      </c>
      <c r="E6" s="244"/>
      <c r="F6" s="256">
        <f>'DOE25'!J201+'DOE25'!J219+'DOE25'!J237</f>
        <v>216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944723</v>
      </c>
      <c r="D7" s="20">
        <f>'DOE25'!L202+'DOE25'!L220+'DOE25'!L238-F7-G7</f>
        <v>760886</v>
      </c>
      <c r="E7" s="244"/>
      <c r="F7" s="256">
        <f>'DOE25'!J202+'DOE25'!J220+'DOE25'!J238</f>
        <v>182999</v>
      </c>
      <c r="G7" s="53">
        <f>'DOE25'!K202+'DOE25'!K220+'DOE25'!K238</f>
        <v>838</v>
      </c>
      <c r="H7" s="260"/>
    </row>
    <row r="8" spans="1:9" x14ac:dyDescent="0.2">
      <c r="A8" s="32">
        <v>2300</v>
      </c>
      <c r="B8" t="s">
        <v>802</v>
      </c>
      <c r="C8" s="246">
        <f t="shared" si="0"/>
        <v>882174</v>
      </c>
      <c r="D8" s="244"/>
      <c r="E8" s="20">
        <f>'DOE25'!L203+'DOE25'!L221+'DOE25'!L239-F8-G8-D9-D11</f>
        <v>869048</v>
      </c>
      <c r="F8" s="256">
        <f>'DOE25'!J203+'DOE25'!J221+'DOE25'!J239</f>
        <v>0</v>
      </c>
      <c r="G8" s="53">
        <f>'DOE25'!K203+'DOE25'!K221+'DOE25'!K239</f>
        <v>13126</v>
      </c>
      <c r="H8" s="260"/>
    </row>
    <row r="9" spans="1:9" x14ac:dyDescent="0.2">
      <c r="A9" s="32">
        <v>2310</v>
      </c>
      <c r="B9" t="s">
        <v>818</v>
      </c>
      <c r="C9" s="246">
        <f t="shared" si="0"/>
        <v>22466</v>
      </c>
      <c r="D9" s="245">
        <v>22466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34400</v>
      </c>
      <c r="D10" s="244"/>
      <c r="E10" s="245">
        <v>34400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178952</v>
      </c>
      <c r="D11" s="245">
        <v>178952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971386</v>
      </c>
      <c r="D12" s="20">
        <f>'DOE25'!L204+'DOE25'!L222+'DOE25'!L240-F12-G12</f>
        <v>959840</v>
      </c>
      <c r="E12" s="244"/>
      <c r="F12" s="256">
        <f>'DOE25'!J204+'DOE25'!J222+'DOE25'!J240</f>
        <v>577</v>
      </c>
      <c r="G12" s="53">
        <f>'DOE25'!K204+'DOE25'!K222+'DOE25'!K240</f>
        <v>10969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8885</v>
      </c>
      <c r="D13" s="244"/>
      <c r="E13" s="20">
        <f>'DOE25'!L205+'DOE25'!L223+'DOE25'!L241-F13-G13</f>
        <v>8885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1913650</v>
      </c>
      <c r="D14" s="20">
        <f>'DOE25'!L206+'DOE25'!L224+'DOE25'!L242-F14-G14</f>
        <v>1913650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751412</v>
      </c>
      <c r="D15" s="20">
        <f>'DOE25'!L207+'DOE25'!L225+'DOE25'!L243-F15-G15</f>
        <v>751412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1100042</v>
      </c>
      <c r="D25" s="244"/>
      <c r="E25" s="244"/>
      <c r="F25" s="259"/>
      <c r="G25" s="257"/>
      <c r="H25" s="258">
        <f>'DOE25'!L259+'DOE25'!L260+'DOE25'!L340+'DOE25'!L341</f>
        <v>1100042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373716</v>
      </c>
      <c r="D29" s="20">
        <f>'DOE25'!L357+'DOE25'!L358+'DOE25'!L359-'DOE25'!I366-F29-G29</f>
        <v>373716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1845420</v>
      </c>
      <c r="D31" s="20">
        <f>'DOE25'!L289+'DOE25'!L308+'DOE25'!L327+'DOE25'!L332+'DOE25'!L333+'DOE25'!L334-F31-G31</f>
        <v>1723690</v>
      </c>
      <c r="E31" s="244"/>
      <c r="F31" s="256">
        <f>'DOE25'!J289+'DOE25'!J308+'DOE25'!J327+'DOE25'!J332+'DOE25'!J333+'DOE25'!J334</f>
        <v>121730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19736510</v>
      </c>
      <c r="E33" s="247">
        <f>SUM(E5:E31)</f>
        <v>912333</v>
      </c>
      <c r="F33" s="247">
        <f>SUM(F5:F31)</f>
        <v>347872</v>
      </c>
      <c r="G33" s="247">
        <f>SUM(G5:G31)</f>
        <v>63429</v>
      </c>
      <c r="H33" s="247">
        <f>SUM(H5:H31)</f>
        <v>1100042</v>
      </c>
    </row>
    <row r="35" spans="2:8" ht="12" thickBot="1" x14ac:dyDescent="0.25">
      <c r="B35" s="254" t="s">
        <v>847</v>
      </c>
      <c r="D35" s="255">
        <f>E33</f>
        <v>912333</v>
      </c>
      <c r="E35" s="250"/>
    </row>
    <row r="36" spans="2:8" ht="12" thickTop="1" x14ac:dyDescent="0.2">
      <c r="B36" t="s">
        <v>815</v>
      </c>
      <c r="D36" s="20">
        <f>D33</f>
        <v>19736510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HILLSBORO-DEERING COOPERATIVE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642372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357830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454516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161254</v>
      </c>
      <c r="D12" s="95">
        <f>'DOE25'!G13</f>
        <v>58354</v>
      </c>
      <c r="E12" s="95">
        <f>'DOE25'!H13</f>
        <v>658888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3559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8856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1258142</v>
      </c>
      <c r="D18" s="41">
        <f>SUM(D8:D17)</f>
        <v>70769</v>
      </c>
      <c r="E18" s="41">
        <f>SUM(E8:E17)</f>
        <v>658888</v>
      </c>
      <c r="F18" s="41">
        <f>SUM(F8:F17)</f>
        <v>0</v>
      </c>
      <c r="G18" s="41">
        <f>SUM(G8:G17)</f>
        <v>357830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56924</v>
      </c>
      <c r="E21" s="95">
        <f>'DOE25'!H22</f>
        <v>394074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442904</v>
      </c>
      <c r="D23" s="95">
        <f>'DOE25'!G24</f>
        <v>4989</v>
      </c>
      <c r="E23" s="95">
        <f>'DOE25'!H24</f>
        <v>10725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36463</v>
      </c>
      <c r="D29" s="95">
        <f>'DOE25'!G30</f>
        <v>0</v>
      </c>
      <c r="E29" s="95">
        <f>'DOE25'!H30</f>
        <v>242695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479367</v>
      </c>
      <c r="D31" s="41">
        <f>SUM(D21:D30)</f>
        <v>61913</v>
      </c>
      <c r="E31" s="41">
        <f>SUM(E21:E30)</f>
        <v>647494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8856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357830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173606</v>
      </c>
      <c r="D47" s="95">
        <f>'DOE25'!G48</f>
        <v>0</v>
      </c>
      <c r="E47" s="95">
        <f>'DOE25'!H48</f>
        <v>11394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505169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778775</v>
      </c>
      <c r="D49" s="41">
        <f>SUM(D34:D48)</f>
        <v>8856</v>
      </c>
      <c r="E49" s="41">
        <f>SUM(E34:E48)</f>
        <v>11394</v>
      </c>
      <c r="F49" s="41">
        <f>SUM(F34:F48)</f>
        <v>0</v>
      </c>
      <c r="G49" s="41">
        <f>SUM(G34:G48)</f>
        <v>357830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1258142</v>
      </c>
      <c r="D50" s="41">
        <f>D49+D31</f>
        <v>70769</v>
      </c>
      <c r="E50" s="41">
        <f>E49+E31</f>
        <v>658888</v>
      </c>
      <c r="F50" s="41">
        <f>F49+F31</f>
        <v>0</v>
      </c>
      <c r="G50" s="41">
        <f>G49+G31</f>
        <v>357830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10323331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1487482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3315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265239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12123</v>
      </c>
      <c r="D60" s="95">
        <f>SUM('DOE25'!G97:G109)</f>
        <v>0</v>
      </c>
      <c r="E60" s="95">
        <f>SUM('DOE25'!H97:H109)</f>
        <v>211150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1502920</v>
      </c>
      <c r="D61" s="130">
        <f>SUM(D56:D60)</f>
        <v>265239</v>
      </c>
      <c r="E61" s="130">
        <f>SUM(E56:E60)</f>
        <v>211150</v>
      </c>
      <c r="F61" s="130">
        <f>SUM(F56:F60)</f>
        <v>0</v>
      </c>
      <c r="G61" s="130">
        <f>SUM(G56:G60)</f>
        <v>229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11826251</v>
      </c>
      <c r="D62" s="22">
        <f>D55+D61</f>
        <v>265239</v>
      </c>
      <c r="E62" s="22">
        <f>E55+E61</f>
        <v>211150</v>
      </c>
      <c r="F62" s="22">
        <f>F55+F61</f>
        <v>0</v>
      </c>
      <c r="G62" s="22">
        <f>G55+G61</f>
        <v>229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6181293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1649604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5356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7836253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368556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216507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13817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6680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598880</v>
      </c>
      <c r="D77" s="130">
        <f>SUM(D71:D76)</f>
        <v>6680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8435133</v>
      </c>
      <c r="D80" s="130">
        <f>SUM(D78:D79)+D77+D69</f>
        <v>6680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85186</v>
      </c>
      <c r="D87" s="95">
        <f>SUM('DOE25'!G152:G160)</f>
        <v>309715</v>
      </c>
      <c r="E87" s="95">
        <f>SUM('DOE25'!H152:H160)</f>
        <v>1635128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85186</v>
      </c>
      <c r="D90" s="131">
        <f>SUM(D84:D89)</f>
        <v>309715</v>
      </c>
      <c r="E90" s="131">
        <f>SUM(E84:E89)</f>
        <v>1635128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61975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8084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8084</v>
      </c>
      <c r="D102" s="86">
        <f>SUM(D92:D101)</f>
        <v>61975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20354654</v>
      </c>
      <c r="D103" s="86">
        <f>D62+D80+D90+D102</f>
        <v>643609</v>
      </c>
      <c r="E103" s="86">
        <f>E62+E80+E90+E102</f>
        <v>1846278</v>
      </c>
      <c r="F103" s="86">
        <f>F62+F80+F90+F102</f>
        <v>0</v>
      </c>
      <c r="G103" s="86">
        <f>G62+G80+G102</f>
        <v>50229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7597979</v>
      </c>
      <c r="D108" s="24" t="s">
        <v>289</v>
      </c>
      <c r="E108" s="95">
        <f>('DOE25'!L275)+('DOE25'!L294)+('DOE25'!L313)</f>
        <v>1845420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3805652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77079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206426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11687136</v>
      </c>
      <c r="D114" s="86">
        <f>SUM(D108:D113)</f>
        <v>0</v>
      </c>
      <c r="E114" s="86">
        <f>SUM(E108:E113)</f>
        <v>1845420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1445824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944723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1083592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971386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8885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1913650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751412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613076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7119472</v>
      </c>
      <c r="D127" s="86">
        <f>SUM(D117:D126)</f>
        <v>613076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740000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360042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61975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50229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1212017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20018625</v>
      </c>
      <c r="D144" s="86">
        <f>(D114+D127+D143)</f>
        <v>613076</v>
      </c>
      <c r="E144" s="86">
        <f>(E114+E127+E143)</f>
        <v>1845420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14750000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9570000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9570000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740000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740000</v>
      </c>
    </row>
    <row r="158" spans="1:9" x14ac:dyDescent="0.2">
      <c r="A158" s="22" t="s">
        <v>35</v>
      </c>
      <c r="B158" s="137">
        <f>'DOE25'!F497</f>
        <v>8830000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8830000</v>
      </c>
    </row>
    <row r="159" spans="1:9" x14ac:dyDescent="0.2">
      <c r="A159" s="22" t="s">
        <v>36</v>
      </c>
      <c r="B159" s="137">
        <f>'DOE25'!F498</f>
        <v>1839604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1839604</v>
      </c>
    </row>
    <row r="160" spans="1:9" x14ac:dyDescent="0.2">
      <c r="A160" s="22" t="s">
        <v>37</v>
      </c>
      <c r="B160" s="137">
        <f>'DOE25'!F499</f>
        <v>10669604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10669604</v>
      </c>
    </row>
    <row r="161" spans="1:7" x14ac:dyDescent="0.2">
      <c r="A161" s="22" t="s">
        <v>38</v>
      </c>
      <c r="B161" s="137">
        <f>'DOE25'!F500</f>
        <v>740000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740000</v>
      </c>
    </row>
    <row r="162" spans="1:7" x14ac:dyDescent="0.2">
      <c r="A162" s="22" t="s">
        <v>39</v>
      </c>
      <c r="B162" s="137">
        <f>'DOE25'!F501</f>
        <v>330443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330443</v>
      </c>
    </row>
    <row r="163" spans="1:7" x14ac:dyDescent="0.2">
      <c r="A163" s="22" t="s">
        <v>246</v>
      </c>
      <c r="B163" s="137">
        <f>'DOE25'!F502</f>
        <v>1070443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1070443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 xml:space="preserve">HILLSBORO-DEERING COOPERATIVE 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14815</v>
      </c>
    </row>
    <row r="5" spans="1:4" x14ac:dyDescent="0.2">
      <c r="B5" t="s">
        <v>704</v>
      </c>
      <c r="C5" s="179">
        <f>IF('DOE25'!G664+'DOE25'!G669=0,0,ROUND('DOE25'!G671,0))</f>
        <v>14331</v>
      </c>
    </row>
    <row r="6" spans="1:4" x14ac:dyDescent="0.2">
      <c r="B6" t="s">
        <v>62</v>
      </c>
      <c r="C6" s="179">
        <f>IF('DOE25'!H664+'DOE25'!H669=0,0,ROUND('DOE25'!H671,0))</f>
        <v>15444</v>
      </c>
    </row>
    <row r="7" spans="1:4" x14ac:dyDescent="0.2">
      <c r="B7" t="s">
        <v>705</v>
      </c>
      <c r="C7" s="179">
        <f>IF('DOE25'!I664+'DOE25'!I669=0,0,ROUND('DOE25'!I671,0))</f>
        <v>14902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9443399</v>
      </c>
      <c r="D10" s="182">
        <f>ROUND((C10/$C$28)*100,1)</f>
        <v>44.2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3805652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77079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206426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1445824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944723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1083592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971386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8885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1913650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751412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360042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347837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21359907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21359907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740000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10323331</v>
      </c>
      <c r="D35" s="182">
        <f t="shared" ref="D35:D40" si="1">ROUND((C35/$C$41)*100,1)</f>
        <v>45.9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1714299</v>
      </c>
      <c r="D36" s="182">
        <f t="shared" si="1"/>
        <v>7.6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7836253</v>
      </c>
      <c r="D37" s="182">
        <f t="shared" si="1"/>
        <v>34.799999999999997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605560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2030029</v>
      </c>
      <c r="D39" s="182">
        <f t="shared" si="1"/>
        <v>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22509472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0" t="str">
        <f>'DOE25'!A2</f>
        <v xml:space="preserve">HILLSBORO-DEERING COOPERATIVE 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2012-08-20T12:40:27Z</cp:lastPrinted>
  <dcterms:created xsi:type="dcterms:W3CDTF">1997-12-04T19:04:30Z</dcterms:created>
  <dcterms:modified xsi:type="dcterms:W3CDTF">2012-11-21T14:44:28Z</dcterms:modified>
</cp:coreProperties>
</file>