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3545" yWindow="-15" windowWidth="13500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6" i="1" l="1"/>
  <c r="H233" i="1" l="1"/>
  <c r="G24" i="1"/>
  <c r="G14" i="1"/>
  <c r="F126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L259" i="1"/>
  <c r="C130" i="2" s="1"/>
  <c r="L260" i="1"/>
  <c r="L340" i="1"/>
  <c r="E130" i="2" s="1"/>
  <c r="L341" i="1"/>
  <c r="L254" i="1"/>
  <c r="C129" i="2" s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55" i="2" s="1"/>
  <c r="F78" i="1"/>
  <c r="C56" i="2" s="1"/>
  <c r="F93" i="1"/>
  <c r="C57" i="2" s="1"/>
  <c r="F110" i="1"/>
  <c r="G110" i="1"/>
  <c r="H78" i="1"/>
  <c r="E56" i="2" s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H161" i="1"/>
  <c r="I146" i="1"/>
  <c r="F84" i="2" s="1"/>
  <c r="I161" i="1"/>
  <c r="L249" i="1"/>
  <c r="C112" i="2" s="1"/>
  <c r="L331" i="1"/>
  <c r="E112" i="2" s="1"/>
  <c r="L253" i="1"/>
  <c r="C123" i="2" s="1"/>
  <c r="L267" i="1"/>
  <c r="C141" i="2" s="1"/>
  <c r="L268" i="1"/>
  <c r="C142" i="2" s="1"/>
  <c r="L348" i="1"/>
  <c r="E141" i="2" s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H646" i="1"/>
  <c r="G650" i="1"/>
  <c r="G651" i="1"/>
  <c r="H651" i="1"/>
  <c r="G652" i="1"/>
  <c r="H652" i="1"/>
  <c r="G653" i="1"/>
  <c r="H653" i="1"/>
  <c r="H654" i="1"/>
  <c r="A31" i="12"/>
  <c r="A40" i="12" l="1"/>
  <c r="E121" i="2"/>
  <c r="H660" i="1"/>
  <c r="C110" i="2"/>
  <c r="C18" i="10"/>
  <c r="D18" i="13"/>
  <c r="C18" i="13" s="1"/>
  <c r="E109" i="2"/>
  <c r="E108" i="2"/>
  <c r="C69" i="2"/>
  <c r="E118" i="2"/>
  <c r="D15" i="13"/>
  <c r="C15" i="13" s="1"/>
  <c r="C25" i="10"/>
  <c r="G644" i="1"/>
  <c r="E122" i="2"/>
  <c r="G407" i="1"/>
  <c r="H644" i="1" s="1"/>
  <c r="I368" i="1"/>
  <c r="H633" i="1" s="1"/>
  <c r="G80" i="2"/>
  <c r="G111" i="1"/>
  <c r="D19" i="13"/>
  <c r="C19" i="13" s="1"/>
  <c r="D7" i="13"/>
  <c r="C7" i="13" s="1"/>
  <c r="C124" i="2"/>
  <c r="G661" i="1"/>
  <c r="E61" i="2"/>
  <c r="E62" i="2" s="1"/>
  <c r="C121" i="2"/>
  <c r="G433" i="1"/>
  <c r="I337" i="1"/>
  <c r="I351" i="1" s="1"/>
  <c r="G102" i="2"/>
  <c r="F61" i="2"/>
  <c r="F62" i="2" s="1"/>
  <c r="G61" i="2"/>
  <c r="G62" i="2" s="1"/>
  <c r="C10" i="10"/>
  <c r="L228" i="1"/>
  <c r="C119" i="2"/>
  <c r="C120" i="2"/>
  <c r="J649" i="1"/>
  <c r="C108" i="2"/>
  <c r="E124" i="2"/>
  <c r="C31" i="2"/>
  <c r="F31" i="2"/>
  <c r="E113" i="2"/>
  <c r="E117" i="2"/>
  <c r="D12" i="13"/>
  <c r="C12" i="13" s="1"/>
  <c r="C117" i="2"/>
  <c r="E8" i="13"/>
  <c r="C8" i="13" s="1"/>
  <c r="E31" i="2"/>
  <c r="G31" i="13"/>
  <c r="G33" i="13" s="1"/>
  <c r="E111" i="2"/>
  <c r="L523" i="1"/>
  <c r="J433" i="1"/>
  <c r="C32" i="10"/>
  <c r="E120" i="2"/>
  <c r="L538" i="1"/>
  <c r="D126" i="2"/>
  <c r="D127" i="2" s="1"/>
  <c r="D144" i="2" s="1"/>
  <c r="G660" i="1"/>
  <c r="F660" i="1"/>
  <c r="C17" i="10"/>
  <c r="H460" i="1"/>
  <c r="H640" i="1" s="1"/>
  <c r="J640" i="1" s="1"/>
  <c r="H407" i="1"/>
  <c r="H643" i="1" s="1"/>
  <c r="G162" i="2"/>
  <c r="F77" i="2"/>
  <c r="F80" i="2" s="1"/>
  <c r="D61" i="2"/>
  <c r="D62" i="2" s="1"/>
  <c r="J653" i="1"/>
  <c r="I459" i="1"/>
  <c r="G156" i="2"/>
  <c r="L533" i="1"/>
  <c r="I445" i="1"/>
  <c r="G641" i="1" s="1"/>
  <c r="L361" i="1"/>
  <c r="L210" i="1"/>
  <c r="F407" i="1"/>
  <c r="H642" i="1" s="1"/>
  <c r="J642" i="1" s="1"/>
  <c r="I51" i="1"/>
  <c r="H619" i="1" s="1"/>
  <c r="J619" i="1" s="1"/>
  <c r="D49" i="2"/>
  <c r="E13" i="13"/>
  <c r="C13" i="13" s="1"/>
  <c r="C26" i="10"/>
  <c r="J651" i="1"/>
  <c r="D29" i="13"/>
  <c r="C29" i="13" s="1"/>
  <c r="D14" i="13"/>
  <c r="C14" i="13" s="1"/>
  <c r="C16" i="10"/>
  <c r="C11" i="10"/>
  <c r="F49" i="2"/>
  <c r="E18" i="2"/>
  <c r="I407" i="1"/>
  <c r="H51" i="1"/>
  <c r="H618" i="1" s="1"/>
  <c r="J618" i="1" s="1"/>
  <c r="K433" i="1"/>
  <c r="G133" i="2" s="1"/>
  <c r="G143" i="2" s="1"/>
  <c r="G144" i="2" s="1"/>
  <c r="E49" i="2"/>
  <c r="F18" i="2"/>
  <c r="L269" i="1"/>
  <c r="F129" i="2"/>
  <c r="F143" i="2" s="1"/>
  <c r="F144" i="2" s="1"/>
  <c r="D17" i="13"/>
  <c r="C17" i="13" s="1"/>
  <c r="C111" i="2"/>
  <c r="L255" i="1"/>
  <c r="F191" i="1"/>
  <c r="G163" i="2"/>
  <c r="G161" i="2"/>
  <c r="G158" i="2"/>
  <c r="G155" i="2"/>
  <c r="G168" i="1"/>
  <c r="J652" i="1"/>
  <c r="F460" i="1"/>
  <c r="H638" i="1" s="1"/>
  <c r="J638" i="1" s="1"/>
  <c r="H433" i="1"/>
  <c r="I256" i="1"/>
  <c r="I270" i="1" s="1"/>
  <c r="G256" i="1"/>
  <c r="G270" i="1" s="1"/>
  <c r="K256" i="1"/>
  <c r="K270" i="1" s="1"/>
  <c r="G160" i="2"/>
  <c r="G460" i="1"/>
  <c r="H639" i="1" s="1"/>
  <c r="F256" i="1"/>
  <c r="F270" i="1" s="1"/>
  <c r="G157" i="2"/>
  <c r="J111" i="1"/>
  <c r="D102" i="2"/>
  <c r="F102" i="2"/>
  <c r="F90" i="2"/>
  <c r="F433" i="1"/>
  <c r="E102" i="2"/>
  <c r="C102" i="2"/>
  <c r="L406" i="1"/>
  <c r="C139" i="2" s="1"/>
  <c r="L350" i="1"/>
  <c r="L327" i="1"/>
  <c r="E119" i="2"/>
  <c r="E123" i="2"/>
  <c r="E110" i="2"/>
  <c r="D90" i="2"/>
  <c r="D18" i="2"/>
  <c r="C90" i="2"/>
  <c r="C77" i="2"/>
  <c r="C80" i="2" s="1"/>
  <c r="C61" i="2"/>
  <c r="C62" i="2" s="1"/>
  <c r="C18" i="2"/>
  <c r="D31" i="2"/>
  <c r="E131" i="2"/>
  <c r="E143" i="2" s="1"/>
  <c r="C19" i="10"/>
  <c r="G570" i="1"/>
  <c r="C122" i="2"/>
  <c r="C118" i="2"/>
  <c r="C113" i="2"/>
  <c r="C109" i="2"/>
  <c r="C20" i="10"/>
  <c r="G139" i="1"/>
  <c r="K499" i="1"/>
  <c r="I433" i="1"/>
  <c r="L381" i="1"/>
  <c r="G635" i="1" s="1"/>
  <c r="J635" i="1" s="1"/>
  <c r="G159" i="2"/>
  <c r="C21" i="10"/>
  <c r="C12" i="10"/>
  <c r="F139" i="1"/>
  <c r="F31" i="13"/>
  <c r="F544" i="1"/>
  <c r="I451" i="1"/>
  <c r="D6" i="13"/>
  <c r="C6" i="13" s="1"/>
  <c r="L289" i="1"/>
  <c r="G624" i="1"/>
  <c r="L613" i="1"/>
  <c r="F51" i="1"/>
  <c r="H616" i="1" s="1"/>
  <c r="J616" i="1" s="1"/>
  <c r="F661" i="1"/>
  <c r="C13" i="10"/>
  <c r="A22" i="12"/>
  <c r="L528" i="1"/>
  <c r="L246" i="1"/>
  <c r="J648" i="1"/>
  <c r="L543" i="1"/>
  <c r="J337" i="1"/>
  <c r="J351" i="1" s="1"/>
  <c r="I191" i="1"/>
  <c r="G51" i="1"/>
  <c r="H617" i="1" s="1"/>
  <c r="J617" i="1" s="1"/>
  <c r="C15" i="10"/>
  <c r="I662" i="1"/>
  <c r="K502" i="1"/>
  <c r="K337" i="1"/>
  <c r="K351" i="1" s="1"/>
  <c r="C24" i="10"/>
  <c r="I139" i="1"/>
  <c r="E90" i="2"/>
  <c r="E77" i="2"/>
  <c r="E80" i="2" s="1"/>
  <c r="L426" i="1"/>
  <c r="J256" i="1"/>
  <c r="H111" i="1"/>
  <c r="F111" i="1"/>
  <c r="K604" i="1"/>
  <c r="G647" i="1" s="1"/>
  <c r="J570" i="1"/>
  <c r="K570" i="1"/>
  <c r="L432" i="1"/>
  <c r="L418" i="1"/>
  <c r="D80" i="2"/>
  <c r="I168" i="1"/>
  <c r="H168" i="1"/>
  <c r="G551" i="1"/>
  <c r="J643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J654" i="1"/>
  <c r="L569" i="1"/>
  <c r="I570" i="1"/>
  <c r="I544" i="1"/>
  <c r="G36" i="2"/>
  <c r="G49" i="2" s="1"/>
  <c r="J50" i="1"/>
  <c r="L564" i="1"/>
  <c r="G544" i="1"/>
  <c r="H544" i="1"/>
  <c r="K550" i="1"/>
  <c r="J624" i="1" l="1"/>
  <c r="G103" i="2"/>
  <c r="J644" i="1"/>
  <c r="I460" i="1"/>
  <c r="H641" i="1" s="1"/>
  <c r="J641" i="1" s="1"/>
  <c r="E50" i="2"/>
  <c r="I661" i="1"/>
  <c r="F103" i="2"/>
  <c r="K551" i="1"/>
  <c r="E127" i="2"/>
  <c r="E114" i="2"/>
  <c r="G50" i="2"/>
  <c r="H647" i="1"/>
  <c r="J647" i="1" s="1"/>
  <c r="F659" i="1"/>
  <c r="F663" i="1" s="1"/>
  <c r="F671" i="1" s="1"/>
  <c r="C4" i="10" s="1"/>
  <c r="F50" i="2"/>
  <c r="H192" i="1"/>
  <c r="G628" i="1" s="1"/>
  <c r="J628" i="1" s="1"/>
  <c r="D50" i="2"/>
  <c r="C50" i="2"/>
  <c r="I660" i="1"/>
  <c r="H659" i="1"/>
  <c r="H663" i="1" s="1"/>
  <c r="H666" i="1" s="1"/>
  <c r="C114" i="2"/>
  <c r="C27" i="10"/>
  <c r="C28" i="10" s="1"/>
  <c r="D24" i="10" s="1"/>
  <c r="G634" i="1"/>
  <c r="J634" i="1" s="1"/>
  <c r="L433" i="1"/>
  <c r="G637" i="1" s="1"/>
  <c r="J637" i="1" s="1"/>
  <c r="L544" i="1"/>
  <c r="C103" i="2"/>
  <c r="D103" i="2"/>
  <c r="C36" i="10"/>
  <c r="I192" i="1"/>
  <c r="G629" i="1" s="1"/>
  <c r="J629" i="1" s="1"/>
  <c r="E103" i="2"/>
  <c r="J192" i="1"/>
  <c r="G645" i="1" s="1"/>
  <c r="J270" i="1"/>
  <c r="C127" i="2"/>
  <c r="L256" i="1"/>
  <c r="L270" i="1" s="1"/>
  <c r="G631" i="1" s="1"/>
  <c r="J631" i="1" s="1"/>
  <c r="G192" i="1"/>
  <c r="G627" i="1" s="1"/>
  <c r="J627" i="1" s="1"/>
  <c r="C38" i="10"/>
  <c r="F192" i="1"/>
  <c r="G626" i="1" s="1"/>
  <c r="J626" i="1" s="1"/>
  <c r="C39" i="10"/>
  <c r="L570" i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25" i="1"/>
  <c r="J51" i="1"/>
  <c r="H620" i="1" s="1"/>
  <c r="J620" i="1" s="1"/>
  <c r="E144" i="2" l="1"/>
  <c r="G630" i="1"/>
  <c r="J630" i="1" s="1"/>
  <c r="C144" i="2"/>
  <c r="H671" i="1"/>
  <c r="C6" i="10" s="1"/>
  <c r="D21" i="10"/>
  <c r="D26" i="10"/>
  <c r="D18" i="10"/>
  <c r="D19" i="10"/>
  <c r="D16" i="10"/>
  <c r="D13" i="10"/>
  <c r="D10" i="10"/>
  <c r="C41" i="10"/>
  <c r="D39" i="10" s="1"/>
  <c r="D27" i="10"/>
  <c r="D17" i="10"/>
  <c r="D22" i="10"/>
  <c r="D11" i="10"/>
  <c r="C30" i="10"/>
  <c r="D25" i="10"/>
  <c r="D15" i="10"/>
  <c r="F666" i="1"/>
  <c r="D12" i="10"/>
  <c r="D23" i="10"/>
  <c r="D20" i="10"/>
  <c r="G636" i="1"/>
  <c r="J636" i="1" s="1"/>
  <c r="H645" i="1"/>
  <c r="J645" i="1" s="1"/>
  <c r="D33" i="13"/>
  <c r="D36" i="13" s="1"/>
  <c r="G663" i="1"/>
  <c r="I659" i="1"/>
  <c r="I663" i="1" s="1"/>
  <c r="J625" i="1"/>
  <c r="D36" i="10" l="1"/>
  <c r="D28" i="10"/>
  <c r="D37" i="10"/>
  <c r="D35" i="10"/>
  <c r="D40" i="10"/>
  <c r="D38" i="10"/>
  <c r="H655" i="1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<sst xmlns="http://schemas.openxmlformats.org/spreadsheetml/2006/main" count="3950" uniqueCount="917">
  <si>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</si>
  <si>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</si>
  <si>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</si>
  <si>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</si>
  <si>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</si>
  <si>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</si>
  <si>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</si>
  <si>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</si>
  <si>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</si>
  <si>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</si>
  <si>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</si>
  <si>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</si>
  <si>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</si>
  <si>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</si>
  <si>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</si>
  <si>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</si>
  <si>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</si>
  <si>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</si>
  <si>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</si>
  <si>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</si>
  <si>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</si>
  <si>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</si>
  <si>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</si>
  <si>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</si>
  <si>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</si>
  <si>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</si>
  <si>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</si>
  <si>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</si>
  <si>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</si>
  <si>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</si>
  <si>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</si>
  <si>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</si>
  <si>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</si>
  <si>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</si>
  <si>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</si>
  <si>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</si>
  <si>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</si>
  <si>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</si>
  <si>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</si>
  <si>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</si>
  <si>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</si>
  <si>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</si>
  <si>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</si>
  <si>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</si>
  <si>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</si>
  <si>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</si>
  <si>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</si>
  <si>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</si>
  <si>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</si>
  <si>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</si>
  <si>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</si>
  <si>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</si>
  <si>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</si>
  <si>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</si>
  <si>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</si>
  <si>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</si>
  <si>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</si>
  <si>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</si>
  <si>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</si>
  <si>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</si>
  <si>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</si>
  <si>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</si>
  <si>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</si>
  <si>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</si>
  <si>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</si>
  <si>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</si>
  <si>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</si>
  <si>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</si>
  <si>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</si>
  <si>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</si>
  <si>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</si>
  <si>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</si>
  <si>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</si>
  <si>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</si>
  <si>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</si>
  <si>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</si>
  <si>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</si>
  <si>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</si>
  <si>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</si>
  <si>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</si>
  <si>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</si>
  <si>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</si>
  <si>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</si>
  <si>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</si>
  <si>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</si>
  <si>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</si>
  <si>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</si>
  <si>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</si>
  <si>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</si>
  <si>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</si>
  <si>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</si>
  <si>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</si>
  <si>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</si>
  <si>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</si>
  <si>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</si>
  <si>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</si>
  <si>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</si>
  <si>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</si>
  <si>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</si>
  <si>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</si>
  <si>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</si>
  <si>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</si>
  <si>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</si>
  <si>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</si>
  <si>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</si>
  <si>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</si>
  <si>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</si>
  <si>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</si>
  <si>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</si>
  <si>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</si>
  <si>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</si>
  <si>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</si>
  <si>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</si>
  <si>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</si>
  <si>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</si>
  <si>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</si>
  <si>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</si>
  <si>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</si>
  <si>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</si>
  <si>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</si>
  <si>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</si>
  <si>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</si>
  <si>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</si>
  <si>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</si>
  <si>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</si>
  <si>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</si>
  <si>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</si>
  <si>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</si>
  <si>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</si>
  <si>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</si>
  <si>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</si>
  <si>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</si>
  <si>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</si>
  <si>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</si>
  <si>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</si>
  <si>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</si>
  <si>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</si>
  <si>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</si>
  <si>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</si>
  <si>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</si>
  <si>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</si>
  <si>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</si>
  <si>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</si>
  <si>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</si>
  <si>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</si>
  <si>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</si>
  <si>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</si>
  <si>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</si>
  <si>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</si>
  <si>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</si>
  <si>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</si>
  <si>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</si>
  <si>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</si>
  <si>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</si>
  <si>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</si>
  <si>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</si>
  <si>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</si>
  <si>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</si>
  <si>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</si>
  <si>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</si>
  <si>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</si>
  <si>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</si>
  <si>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</si>
  <si>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</si>
  <si>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</si>
  <si>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</si>
  <si>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</si>
  <si>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</si>
  <si>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</si>
  <si>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</si>
  <si>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</si>
  <si>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</si>
  <si>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</si>
  <si>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</si>
  <si>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</si>
  <si>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</si>
  <si>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</si>
  <si>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</si>
  <si>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</si>
  <si>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</si>
  <si>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</si>
  <si>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</si>
  <si>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</si>
  <si>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</si>
  <si>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</si>
  <si>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</si>
  <si>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</si>
  <si>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</si>
  <si>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</si>
  <si>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</si>
  <si>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</si>
  <si>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</si>
  <si>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</si>
  <si>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</si>
  <si>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</si>
  <si>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</si>
  <si>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</si>
  <si>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</si>
  <si>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</si>
  <si>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</si>
  <si>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</si>
  <si>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</si>
  <si>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</si>
  <si>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</si>
  <si>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</si>
  <si>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</si>
  <si>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</si>
  <si>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</si>
  <si>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</si>
  <si>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</si>
  <si>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</si>
  <si>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</si>
  <si>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</si>
  <si>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</si>
  <si>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</si>
  <si>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</si>
  <si>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</si>
  <si>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</si>
  <si>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</si>
  <si>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</si>
  <si>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</si>
  <si>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</si>
  <si>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</si>
  <si>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</si>
  <si>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</si>
  <si>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</si>
  <si>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</si>
  <si>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</si>
  <si>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</si>
  <si>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</si>
  <si>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</si>
  <si>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</si>
  <si>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</si>
  <si>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</si>
  <si>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</si>
  <si>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</si>
  <si>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</si>
  <si>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</si>
  <si>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</si>
  <si>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</si>
  <si>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</si>
  <si>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</si>
  <si>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</si>
  <si>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</si>
  <si>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</si>
  <si>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</si>
  <si>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</si>
  <si>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</si>
  <si>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</si>
  <si>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</si>
  <si>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</si>
  <si>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</si>
  <si>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</si>
  <si>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</si>
  <si>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</si>
  <si>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</si>
  <si>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</si>
  <si>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</si>
  <si>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</si>
  <si>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</si>
  <si>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</si>
  <si>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</si>
  <si>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</si>
  <si>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</si>
  <si>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</si>
  <si>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</si>
  <si>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</si>
  <si>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</si>
  <si>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</si>
  <si>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</si>
  <si>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</si>
  <si>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</si>
  <si>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</si>
  <si>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</si>
  <si>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</si>
  <si>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</si>
  <si>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</si>
  <si>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</si>
  <si>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</si>
  <si>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</si>
  <si>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</si>
  <si>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</si>
  <si>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</si>
  <si>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</si>
  <si>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</si>
  <si>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</si>
  <si>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</si>
  <si>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</si>
  <si>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</si>
  <si>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</si>
  <si>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</si>
  <si>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</si>
  <si>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</si>
  <si>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</si>
  <si>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</si>
  <si>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</si>
  <si>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</si>
  <si>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</si>
  <si>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</si>
  <si>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</si>
  <si>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</si>
  <si>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</si>
  <si>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</si>
  <si>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</si>
  <si>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</si>
  <si>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</si>
  <si>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</si>
  <si>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</si>
  <si>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</si>
  <si>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</si>
  <si>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</si>
  <si>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</si>
  <si>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</si>
  <si>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</si>
  <si>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</si>
  <si>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</si>
  <si>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</si>
  <si>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</si>
  <si>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</si>
  <si>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</si>
  <si>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</si>
  <si>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</si>
  <si>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</si>
  <si>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</si>
  <si>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</si>
  <si>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</si>
  <si>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</si>
  <si>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</si>
  <si>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</si>
  <si>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</si>
  <si>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</si>
  <si>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</si>
  <si>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</si>
  <si>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</si>
  <si>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</si>
  <si>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</si>
  <si>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</si>
  <si>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</si>
  <si>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</si>
  <si>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</si>
  <si>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</si>
  <si>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</si>
  <si>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</si>
  <si>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</si>
  <si>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</si>
  <si>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</si>
  <si>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</si>
  <si>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</si>
  <si>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</si>
  <si>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</si>
  <si>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</si>
  <si>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</si>
  <si>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</si>
  <si>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</si>
  <si>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</si>
  <si>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</si>
  <si>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</si>
  <si>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</si>
  <si>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</si>
  <si>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</si>
  <si>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</si>
  <si>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</si>
  <si>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</si>
  <si>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</si>
  <si>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</si>
  <si>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</si>
  <si>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</si>
  <si>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</si>
  <si>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</si>
  <si>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</si>
  <si>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</si>
  <si>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</si>
  <si>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</si>
  <si>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</si>
  <si>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</si>
  <si>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</si>
  <si>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</si>
  <si>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</si>
  <si>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</si>
  <si>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</si>
  <si>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</si>
  <si>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</si>
  <si>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</si>
  <si>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</si>
  <si>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</si>
  <si>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</si>
  <si>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</si>
  <si>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</si>
  <si>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</si>
  <si>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</si>
  <si>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</si>
  <si>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</si>
  <si>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</si>
  <si>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</si>
  <si>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</si>
  <si>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</si>
  <si>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</si>
  <si>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</si>
  <si>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</si>
  <si>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</si>
  <si>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</si>
  <si>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</si>
  <si>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</si>
  <si>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</si>
  <si>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</si>
  <si>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</si>
  <si>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</si>
  <si>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</si>
  <si>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</si>
  <si>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</si>
  <si>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</si>
  <si>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</si>
  <si>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</si>
  <si>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</si>
  <si>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</si>
  <si>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</si>
  <si>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</si>
  <si>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</si>
  <si>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</si>
  <si>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</si>
  <si>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</si>
  <si>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</si>
  <si>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</si>
  <si>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</si>
  <si>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</si>
  <si>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</si>
  <si>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</si>
  <si>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</si>
  <si>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</si>
  <si>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</si>
  <si>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</si>
  <si>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</si>
  <si>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</si>
  <si>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</si>
  <si>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</si>
  <si>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</si>
  <si>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</si>
  <si>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</si>
  <si>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</si>
  <si>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</si>
  <si>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</si>
  <si>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</si>
  <si>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</si>
  <si>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</si>
  <si>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</si>
  <si>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</si>
  <si>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</si>
  <si>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</si>
  <si>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</si>
  <si>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</si>
  <si>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</si>
  <si>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</si>
  <si>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</si>
  <si>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</si>
  <si>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</si>
  <si>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</si>
  <si>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</si>
  <si>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</si>
  <si>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</si>
  <si>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</si>
  <si>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</si>
  <si>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</si>
  <si>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</si>
  <si>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</si>
  <si>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</si>
  <si>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</si>
  <si>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</si>
  <si>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</si>
  <si>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</si>
  <si>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</si>
  <si>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</si>
  <si>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</si>
  <si>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</si>
  <si>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</si>
  <si>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</si>
  <si>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</si>
  <si>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</si>
  <si>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</si>
  <si>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</si>
  <si>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</si>
  <si>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</si>
  <si>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</si>
  <si>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</si>
  <si>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</si>
  <si>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</si>
  <si>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</si>
  <si>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</si>
  <si>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</si>
  <si>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</si>
  <si>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</si>
  <si>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</si>
  <si>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</si>
  <si>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</si>
  <si>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</si>
  <si>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</si>
  <si>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</si>
  <si>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</si>
  <si>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</si>
  <si>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</si>
  <si>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</si>
  <si>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</si>
  <si>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</si>
  <si>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</si>
  <si>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</si>
  <si>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</si>
  <si>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</si>
  <si>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</si>
  <si>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</si>
  <si>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</si>
  <si>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</si>
  <si>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</si>
  <si>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</si>
  <si>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</si>
  <si>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</si>
  <si>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</si>
  <si>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</si>
  <si>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</si>
  <si>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</si>
  <si>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</si>
  <si>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</si>
  <si>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</si>
  <si>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</si>
  <si>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</si>
  <si>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</si>
  <si>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</si>
  <si>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</si>
  <si>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</si>
  <si>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</si>
  <si>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</si>
  <si>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</si>
  <si>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</si>
  <si>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</si>
  <si>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</si>
  <si>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</si>
  <si>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</si>
  <si>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</si>
  <si>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</si>
  <si>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</si>
  <si>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</si>
  <si>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</si>
  <si>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</si>
  <si>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</si>
  <si>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</si>
  <si>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</si>
  <si>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</si>
  <si>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</si>
  <si>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</si>
  <si>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</si>
  <si>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</si>
  <si>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</si>
  <si>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</si>
  <si>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</si>
  <si>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</si>
  <si>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</si>
  <si>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</si>
  <si>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</si>
  <si>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</si>
  <si>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</si>
  <si>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</si>
  <si>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</si>
  <si>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</si>
  <si>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</si>
  <si>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</si>
  <si>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</si>
  <si>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</si>
  <si>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</si>
  <si>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</si>
  <si>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</si>
  <si>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</si>
  <si>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</si>
  <si>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</si>
  <si>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</si>
  <si>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</si>
  <si>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</si>
  <si>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</si>
  <si>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</si>
  <si>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</si>
  <si>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</si>
  <si>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</si>
  <si>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</si>
  <si>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</si>
  <si>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</si>
  <si>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</si>
  <si>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</si>
  <si>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</si>
  <si>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</si>
  <si>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</si>
  <si>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</si>
  <si>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</si>
  <si>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</si>
  <si>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</si>
  <si>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</si>
  <si>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</si>
  <si>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</si>
  <si>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</si>
  <si>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</si>
  <si>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</si>
  <si>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</si>
  <si>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</si>
  <si>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</si>
  <si>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</si>
  <si>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</si>
  <si>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</si>
  <si>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</si>
  <si>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</si>
  <si>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</si>
  <si>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</si>
  <si>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</si>
  <si>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</si>
  <si>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</si>
  <si>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</si>
  <si>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</si>
  <si>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</si>
  <si>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</si>
  <si>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</si>
  <si>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</si>
  <si>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</si>
  <si>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</si>
  <si>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</si>
  <si>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</si>
  <si>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</si>
  <si>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</si>
  <si>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</si>
  <si>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</si>
  <si>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</si>
  <si>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</si>
  <si>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</si>
  <si>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</si>
  <si>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</si>
  <si>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</si>
  <si>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</si>
  <si>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</si>
  <si>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</si>
  <si>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</si>
  <si>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</si>
  <si>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</si>
  <si>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</si>
  <si>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</si>
  <si>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</si>
  <si>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</si>
  <si>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</si>
  <si>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</si>
  <si>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</si>
  <si>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</si>
  <si>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</si>
  <si>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</si>
  <si>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</si>
  <si>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</si>
  <si>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</si>
  <si>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</si>
  <si>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</si>
  <si>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</si>
  <si>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</si>
  <si>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</si>
  <si>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</si>
  <si>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</si>
  <si>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</si>
  <si>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</si>
  <si>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</si>
  <si>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</si>
  <si>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</si>
  <si>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</si>
  <si>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</si>
  <si>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</si>
  <si>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</si>
  <si>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</si>
  <si>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</si>
  <si>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</si>
  <si>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</si>
  <si>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</si>
  <si>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</si>
  <si>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</si>
  <si>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</si>
  <si>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</si>
  <si>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</si>
  <si>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</si>
  <si>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</si>
  <si>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</si>
  <si>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</si>
  <si>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</si>
  <si>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</si>
  <si>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</si>
  <si>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</si>
  <si>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</si>
  <si>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</si>
  <si>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</si>
  <si>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</si>
  <si>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</si>
  <si>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</si>
  <si>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</si>
  <si>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</si>
  <si>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</si>
  <si>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</si>
  <si>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</si>
  <si>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</si>
  <si>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</si>
  <si>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</si>
  <si>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</si>
  <si>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</si>
  <si>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</si>
  <si>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</si>
  <si>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</si>
  <si>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</si>
  <si>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</si>
  <si>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</si>
  <si>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</si>
  <si>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</si>
  <si>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</si>
  <si>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</si>
  <si>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</si>
  <si>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</si>
  <si>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</si>
  <si>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</si>
  <si>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</si>
  <si>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</si>
  <si>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</si>
  <si>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</si>
  <si>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</si>
  <si>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</si>
  <si>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</si>
  <si>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</si>
  <si>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</si>
  <si>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</si>
  <si>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</si>
  <si>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</si>
  <si>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</si>
  <si>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</si>
  <si>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</si>
  <si>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</si>
  <si>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</si>
  <si>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</si>
  <si>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</si>
  <si>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</si>
  <si>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</si>
  <si>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</si>
  <si>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</si>
  <si>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</si>
  <si>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</si>
  <si>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</si>
  <si>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</si>
  <si>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</si>
  <si>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</si>
  <si>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</si>
  <si>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</si>
  <si>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</si>
  <si>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</si>
  <si>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</si>
  <si>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</si>
  <si>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</si>
  <si>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</si>
  <si>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</si>
  <si>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</si>
  <si>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</si>
  <si>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</si>
  <si>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</si>
  <si>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</si>
  <si>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</si>
  <si>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</si>
  <si>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</si>
  <si>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</si>
  <si>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</si>
  <si>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</si>
  <si>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</si>
  <si>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</si>
  <si>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</si>
  <si>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</si>
  <si>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</si>
  <si>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</si>
  <si>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</si>
  <si>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</si>
  <si>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</si>
  <si>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</si>
  <si>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</si>
  <si>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</si>
  <si>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</si>
  <si>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</si>
  <si>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</si>
  <si>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</si>
  <si>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</si>
  <si>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</si>
  <si>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</si>
  <si>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</si>
  <si>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</si>
  <si>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</si>
  <si>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</si>
  <si>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</si>
  <si>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</si>
  <si>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</si>
  <si>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</si>
  <si>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</si>
  <si>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</si>
  <si>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</si>
  <si>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</si>
  <si>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</si>
  <si>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</si>
  <si>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</si>
  <si>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</si>
  <si>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</si>
  <si>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</si>
  <si>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</si>
  <si>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</si>
  <si>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</si>
  <si>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</si>
  <si>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</si>
  <si>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</si>
  <si>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</si>
  <si>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</si>
  <si>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</si>
  <si>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</si>
  <si>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</si>
  <si>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</si>
  <si>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</si>
  <si>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</si>
  <si>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</si>
  <si>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</si>
  <si>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</si>
  <si>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</si>
  <si>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</si>
  <si>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</si>
  <si>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</si>
  <si>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</si>
  <si>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</si>
  <si>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</si>
  <si>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</si>
  <si>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</si>
  <si>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</si>
  <si>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</si>
  <si>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</si>
  <si>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</si>
  <si>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</si>
  <si>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</si>
  <si>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</si>
  <si>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</si>
  <si>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</si>
  <si>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</si>
  <si>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</si>
  <si>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</si>
  <si>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</si>
  <si>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</si>
  <si>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</si>
  <si>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</si>
  <si>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</si>
  <si>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</si>
  <si>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</si>
  <si>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</si>
  <si>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</si>
  <si>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</si>
  <si>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</si>
  <si>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</si>
  <si>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</si>
  <si>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</si>
  <si>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</si>
  <si>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</si>
  <si>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</si>
  <si>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</si>
  <si>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</si>
  <si>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</si>
  <si>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</si>
  <si>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</si>
  <si>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</si>
  <si>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</si>
  <si>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</si>
  <si>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</si>
  <si>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</si>
  <si>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</si>
  <si>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</si>
  <si>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</si>
  <si>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</si>
  <si>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</si>
  <si>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</si>
  <si>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</si>
  <si>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</si>
  <si>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</si>
  <si>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</si>
  <si>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</si>
  <si>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</si>
  <si>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</si>
  <si>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</si>
  <si>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</si>
  <si>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</si>
  <si>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</si>
  <si>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</si>
  <si>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</si>
  <si>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</si>
  <si>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</si>
  <si>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</si>
  <si>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</si>
  <si>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</si>
  <si>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</si>
  <si>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</si>
  <si>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</si>
  <si>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</si>
  <si>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</si>
  <si>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</si>
  <si>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</si>
  <si>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</si>
  <si>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</si>
  <si>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</si>
  <si>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</si>
  <si>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</si>
  <si>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</si>
  <si>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</si>
  <si>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</si>
  <si>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</si>
  <si>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</si>
  <si>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</si>
  <si>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</si>
  <si>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</si>
  <si>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</si>
  <si>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HINSDALE SCHOOL DISTRICT</t>
  </si>
  <si>
    <t>audit adjustment to transfer from Fund 10 to 21</t>
  </si>
  <si>
    <t>audit adjustments</t>
  </si>
  <si>
    <t>DriverEd aid was paid to SAU38 during 10-11 but not remitted to Hinsdale until FY11-12</t>
  </si>
  <si>
    <t>Parent paid tuitions for Pre-K non identified students</t>
  </si>
  <si>
    <t>Parent paid tuitions considered local matching for Title IV 21C project before and after school programs</t>
  </si>
  <si>
    <t>08/05</t>
  </si>
  <si>
    <t>08/25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</si>
</sst>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255</v>
      </c>
      <c r="C2" s="21">
        <v>255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663024.98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139013.98000000001</v>
      </c>
      <c r="G12" s="18">
        <v>15140.73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32758.5</v>
      </c>
      <c r="G13" s="18">
        <v>10588.66</v>
      </c>
      <c r="H13" s="18">
        <v>220625.8</v>
      </c>
      <c r="I13" s="18"/>
      <c r="J13" s="67">
        <f>SUM(I441)</f>
        <v>387506.32999999996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682.75+649.95</f>
        <v>1332.7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742.75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834797.46</v>
      </c>
      <c r="G19" s="41">
        <f>SUM(G9:G18)</f>
        <v>27804.84</v>
      </c>
      <c r="H19" s="41">
        <f>SUM(H9:H18)</f>
        <v>220625.8</v>
      </c>
      <c r="I19" s="41">
        <f>SUM(I9:I18)</f>
        <v>0</v>
      </c>
      <c r="J19" s="41">
        <f>SUM(J9:J18)</f>
        <v>387506.32999999996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154154.71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88099.05</v>
      </c>
      <c r="G23" s="18">
        <v>4085.35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78876.820000000007</v>
      </c>
      <c r="G24" s="18">
        <f>20470.5+3248.99</f>
        <v>23719.489999999998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518566.68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66471.09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685542.55</v>
      </c>
      <c r="G32" s="41">
        <f>SUM(G22:G31)</f>
        <v>27804.839999999997</v>
      </c>
      <c r="H32" s="41">
        <f>SUM(H22:H31)</f>
        <v>220625.8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387506.32999999996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99254.91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149254.91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387506.32999999996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834797.46000000008</v>
      </c>
      <c r="G51" s="41">
        <f>G50+G32</f>
        <v>27804.839999999997</v>
      </c>
      <c r="H51" s="41">
        <f>H50+H32</f>
        <v>220625.8</v>
      </c>
      <c r="I51" s="41">
        <f>I50+I32</f>
        <v>0</v>
      </c>
      <c r="J51" s="41">
        <f>J50+J32</f>
        <v>387506.32999999996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4473646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4473646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7965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15750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68577.320000000007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22285.46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92292.32</v>
      </c>
      <c r="G78" s="45" t="s">
        <v>289</v>
      </c>
      <c r="H78" s="41">
        <f>SUM(H62:H77)</f>
        <v>22285.46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778.35</v>
      </c>
      <c r="G95" s="18"/>
      <c r="H95" s="18"/>
      <c r="I95" s="18"/>
      <c r="J95" s="18">
        <v>5150.2700000000004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130466.87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7100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30203.7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58913.5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89895.55</v>
      </c>
      <c r="G110" s="41">
        <f>SUM(G95:G109)</f>
        <v>130466.87</v>
      </c>
      <c r="H110" s="41">
        <f>SUM(H95:H109)</f>
        <v>7100</v>
      </c>
      <c r="I110" s="41">
        <f>SUM(I95:I109)</f>
        <v>0</v>
      </c>
      <c r="J110" s="41">
        <f>SUM(J95:J109)</f>
        <v>5150.2700000000004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4655833.87</v>
      </c>
      <c r="G111" s="41">
        <f>G59+G110</f>
        <v>130466.87</v>
      </c>
      <c r="H111" s="41">
        <f>H59+H78+H93+H110</f>
        <v>29385.46</v>
      </c>
      <c r="I111" s="41">
        <f>I59+I110</f>
        <v>0</v>
      </c>
      <c r="J111" s="41">
        <f>J59+J110</f>
        <v>5150.2700000000004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4641679.29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585676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4021.71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7387.34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5238764.34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462802.59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157311.70000000001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67756.4+806</f>
        <v>68562.399999999994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1833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12930.73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3300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693809.69000000006</v>
      </c>
      <c r="G135" s="41">
        <f>SUM(G122:G134)</f>
        <v>12930.73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5932574.0300000003</v>
      </c>
      <c r="G139" s="41">
        <f>G120+SUM(G135:G136)</f>
        <v>12930.73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69795.67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256227.95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216886.13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161124.92000000001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152306.64000000001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139719.32999999999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112156.46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139719.32999999999</v>
      </c>
      <c r="G161" s="41">
        <f>SUM(G149:G160)</f>
        <v>161124.92000000001</v>
      </c>
      <c r="H161" s="41">
        <f>SUM(H149:H160)</f>
        <v>807372.85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139719.32999999999</v>
      </c>
      <c r="G168" s="41">
        <f>G146+G161+SUM(G162:G167)</f>
        <v>161124.92000000001</v>
      </c>
      <c r="H168" s="41">
        <f>H146+H161+SUM(H162:H167)</f>
        <v>807372.85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2110.52</v>
      </c>
      <c r="H178" s="18">
        <v>146.25</v>
      </c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2110.52</v>
      </c>
      <c r="H182" s="41">
        <f>SUM(H178:H181)</f>
        <v>146.25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2110.52</v>
      </c>
      <c r="H191" s="41">
        <f>+H182+SUM(H187:H190)</f>
        <v>146.25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10728127.23</v>
      </c>
      <c r="G192" s="47">
        <f>G111+G139+G168+G191</f>
        <v>306633.04000000004</v>
      </c>
      <c r="H192" s="47">
        <f>H111+H139+H168+H191</f>
        <v>836904.55999999994</v>
      </c>
      <c r="I192" s="47">
        <f>I111+I139+I168+I191</f>
        <v>0</v>
      </c>
      <c r="J192" s="47">
        <f>J111+J139+J191</f>
        <v>5150.2700000000004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900647.18</v>
      </c>
      <c r="G196" s="18">
        <v>476659.49</v>
      </c>
      <c r="H196" s="18">
        <v>3168.25</v>
      </c>
      <c r="I196" s="18">
        <v>39668.61</v>
      </c>
      <c r="J196" s="18"/>
      <c r="K196" s="18"/>
      <c r="L196" s="19">
        <f>SUM(F196:K196)</f>
        <v>1420143.53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630321.37</v>
      </c>
      <c r="G197" s="18">
        <v>167994.58</v>
      </c>
      <c r="H197" s="18">
        <v>323.85000000000002</v>
      </c>
      <c r="I197" s="18">
        <v>3734.84</v>
      </c>
      <c r="J197" s="18"/>
      <c r="K197" s="18"/>
      <c r="L197" s="19">
        <f>SUM(F197:K197)</f>
        <v>802374.6399999999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7680</v>
      </c>
      <c r="G199" s="18">
        <v>876.87</v>
      </c>
      <c r="H199" s="18"/>
      <c r="I199" s="18"/>
      <c r="J199" s="18"/>
      <c r="K199" s="18"/>
      <c r="L199" s="19">
        <f>SUM(F199:K199)</f>
        <v>8556.8700000000008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215405.73</v>
      </c>
      <c r="G201" s="18">
        <v>100626.11</v>
      </c>
      <c r="H201" s="18">
        <v>35212.1</v>
      </c>
      <c r="I201" s="18">
        <v>9697.4599999999991</v>
      </c>
      <c r="J201" s="18"/>
      <c r="K201" s="18">
        <v>117.6</v>
      </c>
      <c r="L201" s="19">
        <f t="shared" ref="L201:L207" si="0">SUM(F201:K201)</f>
        <v>361059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24281.1</v>
      </c>
      <c r="G202" s="18">
        <v>2327.5300000000002</v>
      </c>
      <c r="H202" s="18">
        <v>15522.61</v>
      </c>
      <c r="I202" s="18">
        <v>4346.1899999999996</v>
      </c>
      <c r="J202" s="18"/>
      <c r="K202" s="18">
        <v>9.8000000000000007</v>
      </c>
      <c r="L202" s="19">
        <f t="shared" si="0"/>
        <v>46487.23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151003.65</v>
      </c>
      <c r="G203" s="18">
        <v>83121.2</v>
      </c>
      <c r="H203" s="18">
        <v>27636.19</v>
      </c>
      <c r="I203" s="18">
        <v>8266.77</v>
      </c>
      <c r="J203" s="18"/>
      <c r="K203" s="18">
        <v>3964.45</v>
      </c>
      <c r="L203" s="19">
        <f t="shared" si="0"/>
        <v>273992.26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231259.87</v>
      </c>
      <c r="G204" s="18">
        <v>110883.79</v>
      </c>
      <c r="H204" s="18">
        <v>2438.7600000000002</v>
      </c>
      <c r="I204" s="18">
        <v>5436.25</v>
      </c>
      <c r="J204" s="18"/>
      <c r="K204" s="18">
        <v>365</v>
      </c>
      <c r="L204" s="19">
        <f t="shared" si="0"/>
        <v>350383.67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137338.12</v>
      </c>
      <c r="G206" s="18">
        <v>90526.48</v>
      </c>
      <c r="H206" s="18">
        <v>99890.72</v>
      </c>
      <c r="I206" s="18">
        <v>160813.76000000001</v>
      </c>
      <c r="J206" s="18">
        <v>8866.26</v>
      </c>
      <c r="K206" s="18"/>
      <c r="L206" s="19">
        <f t="shared" si="0"/>
        <v>497435.33999999997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108479.78</v>
      </c>
      <c r="I207" s="18"/>
      <c r="J207" s="18"/>
      <c r="K207" s="18"/>
      <c r="L207" s="19">
        <f t="shared" si="0"/>
        <v>108479.78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588</v>
      </c>
      <c r="G208" s="18">
        <v>110</v>
      </c>
      <c r="H208" s="18">
        <v>25679.83</v>
      </c>
      <c r="I208" s="18">
        <v>10973.65</v>
      </c>
      <c r="J208" s="18">
        <v>16043.81</v>
      </c>
      <c r="K208" s="18">
        <v>90.65</v>
      </c>
      <c r="L208" s="19">
        <f>SUM(F208:K208)</f>
        <v>53485.94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2298525.02</v>
      </c>
      <c r="G210" s="41">
        <f t="shared" si="1"/>
        <v>1033126.0499999999</v>
      </c>
      <c r="H210" s="41">
        <f t="shared" si="1"/>
        <v>318352.09000000003</v>
      </c>
      <c r="I210" s="41">
        <f t="shared" si="1"/>
        <v>242937.53</v>
      </c>
      <c r="J210" s="41">
        <f t="shared" si="1"/>
        <v>24910.07</v>
      </c>
      <c r="K210" s="41">
        <f t="shared" si="1"/>
        <v>4547.5</v>
      </c>
      <c r="L210" s="41">
        <f t="shared" si="1"/>
        <v>3922398.26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485385.84</v>
      </c>
      <c r="G214" s="18">
        <v>243498.29</v>
      </c>
      <c r="H214" s="18">
        <v>7183.54</v>
      </c>
      <c r="I214" s="18">
        <v>24329.14</v>
      </c>
      <c r="J214" s="18"/>
      <c r="K214" s="18"/>
      <c r="L214" s="19">
        <f>SUM(F214:K214)</f>
        <v>760396.81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222780.82</v>
      </c>
      <c r="G215" s="18">
        <v>84711.06</v>
      </c>
      <c r="H215" s="18">
        <v>216774.24</v>
      </c>
      <c r="I215" s="18">
        <v>1207.4000000000001</v>
      </c>
      <c r="J215" s="18"/>
      <c r="K215" s="18"/>
      <c r="L215" s="19">
        <f>SUM(F215:K215)</f>
        <v>525473.52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27522.63</v>
      </c>
      <c r="G217" s="18">
        <v>3977.66</v>
      </c>
      <c r="H217" s="18">
        <v>8795.14</v>
      </c>
      <c r="I217" s="18">
        <v>6750.14</v>
      </c>
      <c r="J217" s="18">
        <v>1109.99</v>
      </c>
      <c r="K217" s="18">
        <v>1048.74</v>
      </c>
      <c r="L217" s="19">
        <f>SUM(F217:K217)</f>
        <v>49204.299999999996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98769.76</v>
      </c>
      <c r="G219" s="18">
        <v>51509.43</v>
      </c>
      <c r="H219" s="18">
        <v>15090.9</v>
      </c>
      <c r="I219" s="18">
        <v>3347.81</v>
      </c>
      <c r="J219" s="18"/>
      <c r="K219" s="18">
        <v>82.4</v>
      </c>
      <c r="L219" s="19">
        <f t="shared" ref="L219:L225" si="2">SUM(F219:K219)</f>
        <v>168800.3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15661.4</v>
      </c>
      <c r="G220" s="18">
        <v>6386.53</v>
      </c>
      <c r="H220" s="18">
        <v>6652.55</v>
      </c>
      <c r="I220" s="18">
        <v>5501.81</v>
      </c>
      <c r="J220" s="18"/>
      <c r="K220" s="18">
        <v>4.2</v>
      </c>
      <c r="L220" s="19">
        <f t="shared" si="2"/>
        <v>34206.49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64715.85</v>
      </c>
      <c r="G221" s="18">
        <v>35623.370000000003</v>
      </c>
      <c r="H221" s="18">
        <v>11844.08</v>
      </c>
      <c r="I221" s="18">
        <v>3542.9</v>
      </c>
      <c r="J221" s="18"/>
      <c r="K221" s="18">
        <v>1699.05</v>
      </c>
      <c r="L221" s="19">
        <f t="shared" si="2"/>
        <v>117425.25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125861.9</v>
      </c>
      <c r="G222" s="18">
        <v>47290.01</v>
      </c>
      <c r="H222" s="18">
        <v>5109.95</v>
      </c>
      <c r="I222" s="18">
        <v>791.6</v>
      </c>
      <c r="J222" s="18"/>
      <c r="K222" s="18">
        <v>1455.6</v>
      </c>
      <c r="L222" s="19">
        <f t="shared" si="2"/>
        <v>180509.06000000003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58859.19</v>
      </c>
      <c r="G224" s="18">
        <v>38797.06</v>
      </c>
      <c r="H224" s="18">
        <v>42810.31</v>
      </c>
      <c r="I224" s="18">
        <v>68920.179999999993</v>
      </c>
      <c r="J224" s="18">
        <v>3799.83</v>
      </c>
      <c r="K224" s="18"/>
      <c r="L224" s="19">
        <f t="shared" si="2"/>
        <v>213186.56999999998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128609.81</v>
      </c>
      <c r="I225" s="18"/>
      <c r="J225" s="18"/>
      <c r="K225" s="18"/>
      <c r="L225" s="19">
        <f t="shared" si="2"/>
        <v>128609.81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252</v>
      </c>
      <c r="G226" s="18">
        <v>47.14</v>
      </c>
      <c r="H226" s="18">
        <v>11005.64</v>
      </c>
      <c r="I226" s="18">
        <v>4702.99</v>
      </c>
      <c r="J226" s="18">
        <v>6875.92</v>
      </c>
      <c r="K226" s="18">
        <v>38.85</v>
      </c>
      <c r="L226" s="19">
        <f>SUM(F226:K226)</f>
        <v>22922.539999999997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1099809.3900000001</v>
      </c>
      <c r="G228" s="41">
        <f>SUM(G214:G227)</f>
        <v>511840.55</v>
      </c>
      <c r="H228" s="41">
        <f>SUM(H214:H227)</f>
        <v>453876.16</v>
      </c>
      <c r="I228" s="41">
        <f>SUM(I214:I227)</f>
        <v>119093.96999999999</v>
      </c>
      <c r="J228" s="41">
        <f>SUM(J214:J227)</f>
        <v>11785.74</v>
      </c>
      <c r="K228" s="41">
        <f t="shared" si="3"/>
        <v>4328.84</v>
      </c>
      <c r="L228" s="41">
        <f t="shared" si="3"/>
        <v>2200734.6500000004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741263.77</v>
      </c>
      <c r="G232" s="18">
        <v>367657.41</v>
      </c>
      <c r="H232" s="18">
        <v>11945.32</v>
      </c>
      <c r="I232" s="18">
        <v>52130.99</v>
      </c>
      <c r="J232" s="18"/>
      <c r="K232" s="18">
        <v>5217.6099999999997</v>
      </c>
      <c r="L232" s="19">
        <f>SUM(F232:K232)</f>
        <v>1178215.1000000001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334171.24</v>
      </c>
      <c r="G233" s="18">
        <v>127066.59</v>
      </c>
      <c r="H233" s="18">
        <f>393096.41+675.97</f>
        <v>393772.37999999995</v>
      </c>
      <c r="I233" s="18">
        <v>2973.57</v>
      </c>
      <c r="J233" s="18"/>
      <c r="K233" s="18"/>
      <c r="L233" s="19">
        <f>SUM(F233:K233)</f>
        <v>857983.77999999991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9845</v>
      </c>
      <c r="G234" s="18">
        <v>753.15</v>
      </c>
      <c r="H234" s="18">
        <v>57908.07</v>
      </c>
      <c r="I234" s="18">
        <v>0</v>
      </c>
      <c r="J234" s="18"/>
      <c r="K234" s="18"/>
      <c r="L234" s="19">
        <f>SUM(F234:K234)</f>
        <v>68506.22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41283.949999999997</v>
      </c>
      <c r="G235" s="18">
        <v>5966.48</v>
      </c>
      <c r="H235" s="18">
        <v>13192.71</v>
      </c>
      <c r="I235" s="18">
        <v>10125.219999999999</v>
      </c>
      <c r="J235" s="18">
        <v>1664.98</v>
      </c>
      <c r="K235" s="18">
        <v>1573.11</v>
      </c>
      <c r="L235" s="19">
        <f>SUM(F235:K235)</f>
        <v>73806.449999999983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145858.26999999999</v>
      </c>
      <c r="G237" s="18">
        <v>76193.38</v>
      </c>
      <c r="H237" s="18">
        <v>21558.43</v>
      </c>
      <c r="I237" s="18">
        <v>4992.29</v>
      </c>
      <c r="J237" s="18"/>
      <c r="K237" s="18">
        <v>120</v>
      </c>
      <c r="L237" s="19">
        <f t="shared" ref="L237:L243" si="4">SUM(F237:K237)</f>
        <v>248722.37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23349.599999999999</v>
      </c>
      <c r="G238" s="18">
        <v>9554.51</v>
      </c>
      <c r="H238" s="18">
        <v>9503.64</v>
      </c>
      <c r="I238" s="18">
        <v>8250.41</v>
      </c>
      <c r="J238" s="18"/>
      <c r="K238" s="18">
        <v>6</v>
      </c>
      <c r="L238" s="19">
        <f t="shared" si="4"/>
        <v>50664.160000000003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92451.22</v>
      </c>
      <c r="G239" s="18">
        <v>50890.53</v>
      </c>
      <c r="H239" s="18">
        <v>16920.11</v>
      </c>
      <c r="I239" s="18">
        <v>5061.29</v>
      </c>
      <c r="J239" s="18"/>
      <c r="K239" s="18">
        <v>2427.2199999999998</v>
      </c>
      <c r="L239" s="19">
        <f t="shared" si="4"/>
        <v>167750.37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187707.93</v>
      </c>
      <c r="G240" s="18">
        <v>70709.86</v>
      </c>
      <c r="H240" s="18">
        <v>7664.92</v>
      </c>
      <c r="I240" s="18">
        <v>1187.3900000000001</v>
      </c>
      <c r="J240" s="18"/>
      <c r="K240" s="18">
        <v>2183.4</v>
      </c>
      <c r="L240" s="19">
        <f t="shared" si="4"/>
        <v>269453.5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84084.56</v>
      </c>
      <c r="G242" s="18">
        <v>55424.38</v>
      </c>
      <c r="H242" s="18">
        <v>61157.58</v>
      </c>
      <c r="I242" s="18">
        <v>98457.41</v>
      </c>
      <c r="J242" s="18">
        <v>5428.32</v>
      </c>
      <c r="K242" s="18"/>
      <c r="L242" s="19">
        <f t="shared" si="4"/>
        <v>304552.25000000006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225611.84</v>
      </c>
      <c r="I243" s="18"/>
      <c r="J243" s="18"/>
      <c r="K243" s="18"/>
      <c r="L243" s="19">
        <f t="shared" si="4"/>
        <v>225611.84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360</v>
      </c>
      <c r="G244" s="18">
        <v>67.34</v>
      </c>
      <c r="H244" s="18">
        <v>15722.35</v>
      </c>
      <c r="I244" s="18">
        <v>6718.56</v>
      </c>
      <c r="J244" s="18">
        <v>9822.74</v>
      </c>
      <c r="K244" s="18">
        <v>55.5</v>
      </c>
      <c r="L244" s="19">
        <f>SUM(F244:K244)</f>
        <v>32746.489999999998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1660375.54</v>
      </c>
      <c r="G246" s="41">
        <f t="shared" si="5"/>
        <v>764283.63</v>
      </c>
      <c r="H246" s="41">
        <f t="shared" si="5"/>
        <v>834957.35</v>
      </c>
      <c r="I246" s="41">
        <f t="shared" si="5"/>
        <v>189897.13</v>
      </c>
      <c r="J246" s="41">
        <f t="shared" si="5"/>
        <v>16916.04</v>
      </c>
      <c r="K246" s="41">
        <f t="shared" si="5"/>
        <v>11582.839999999998</v>
      </c>
      <c r="L246" s="41">
        <f t="shared" si="5"/>
        <v>3478012.5300000007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5058709.95</v>
      </c>
      <c r="G256" s="41">
        <f t="shared" si="8"/>
        <v>2309250.23</v>
      </c>
      <c r="H256" s="41">
        <f t="shared" si="8"/>
        <v>1607185.6</v>
      </c>
      <c r="I256" s="41">
        <f t="shared" si="8"/>
        <v>551928.63</v>
      </c>
      <c r="J256" s="41">
        <f t="shared" si="8"/>
        <v>53611.85</v>
      </c>
      <c r="K256" s="41">
        <f t="shared" si="8"/>
        <v>20459.18</v>
      </c>
      <c r="L256" s="41">
        <f t="shared" si="8"/>
        <v>9601145.4400000013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655000</v>
      </c>
      <c r="L259" s="19">
        <f>SUM(F259:K259)</f>
        <v>655000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427843.5</v>
      </c>
      <c r="L260" s="19">
        <f>SUM(F260:K260)</f>
        <v>427843.5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2110.52</v>
      </c>
      <c r="L262" s="19">
        <f>SUM(F262:K262)</f>
        <v>2110.52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146.25</v>
      </c>
      <c r="L263" s="19">
        <f t="shared" ref="L263:L269" si="9">SUM(F263:K263)</f>
        <v>146.25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1085100.27</v>
      </c>
      <c r="L269" s="41">
        <f t="shared" si="9"/>
        <v>1085100.27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5058709.95</v>
      </c>
      <c r="G270" s="42">
        <f t="shared" si="11"/>
        <v>2309250.23</v>
      </c>
      <c r="H270" s="42">
        <f t="shared" si="11"/>
        <v>1607185.6</v>
      </c>
      <c r="I270" s="42">
        <f t="shared" si="11"/>
        <v>551928.63</v>
      </c>
      <c r="J270" s="42">
        <f t="shared" si="11"/>
        <v>53611.85</v>
      </c>
      <c r="K270" s="42">
        <f t="shared" si="11"/>
        <v>1105559.45</v>
      </c>
      <c r="L270" s="42">
        <f t="shared" si="11"/>
        <v>10686245.710000001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175522.28</v>
      </c>
      <c r="G275" s="18">
        <v>44523.5</v>
      </c>
      <c r="H275" s="18">
        <v>46354.55</v>
      </c>
      <c r="I275" s="18">
        <v>23873.279999999999</v>
      </c>
      <c r="J275" s="18">
        <v>6566.12</v>
      </c>
      <c r="K275" s="18">
        <v>2762.47</v>
      </c>
      <c r="L275" s="19">
        <f>SUM(F275:K275)</f>
        <v>299602.19999999995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16639.400000000001</v>
      </c>
      <c r="G276" s="18">
        <v>7184.9</v>
      </c>
      <c r="H276" s="18">
        <v>2327.5</v>
      </c>
      <c r="I276" s="18">
        <v>4492.78</v>
      </c>
      <c r="J276" s="18">
        <v>12409.5</v>
      </c>
      <c r="K276" s="18"/>
      <c r="L276" s="19">
        <f>SUM(F276:K276)</f>
        <v>43054.080000000002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26068.14</v>
      </c>
      <c r="G280" s="18">
        <v>18206.29</v>
      </c>
      <c r="H280" s="18">
        <v>2532.04</v>
      </c>
      <c r="I280" s="18"/>
      <c r="J280" s="18"/>
      <c r="K280" s="18"/>
      <c r="L280" s="19">
        <f t="shared" ref="L280:L286" si="12">SUM(F280:K280)</f>
        <v>46806.47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8216.64</v>
      </c>
      <c r="I281" s="18"/>
      <c r="J281" s="18"/>
      <c r="K281" s="18"/>
      <c r="L281" s="19">
        <f t="shared" si="12"/>
        <v>8216.64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4474.8599999999997</v>
      </c>
      <c r="I286" s="18"/>
      <c r="J286" s="18"/>
      <c r="K286" s="18"/>
      <c r="L286" s="19">
        <f t="shared" si="12"/>
        <v>4474.8599999999997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218229.82</v>
      </c>
      <c r="G289" s="42">
        <f t="shared" si="13"/>
        <v>69914.69</v>
      </c>
      <c r="H289" s="42">
        <f t="shared" si="13"/>
        <v>63905.590000000004</v>
      </c>
      <c r="I289" s="42">
        <f t="shared" si="13"/>
        <v>28366.059999999998</v>
      </c>
      <c r="J289" s="42">
        <f t="shared" si="13"/>
        <v>18975.62</v>
      </c>
      <c r="K289" s="42">
        <f t="shared" si="13"/>
        <v>2762.47</v>
      </c>
      <c r="L289" s="41">
        <f t="shared" si="13"/>
        <v>402154.25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75223.839999999997</v>
      </c>
      <c r="G294" s="18">
        <v>19081.5</v>
      </c>
      <c r="H294" s="18">
        <v>19866.240000000002</v>
      </c>
      <c r="I294" s="18">
        <v>10231.41</v>
      </c>
      <c r="J294" s="18">
        <v>2814.05</v>
      </c>
      <c r="K294" s="18">
        <v>1183.92</v>
      </c>
      <c r="L294" s="19">
        <f>SUM(F294:K294)</f>
        <v>128400.96000000001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7131.17</v>
      </c>
      <c r="G295" s="18">
        <v>3079.24</v>
      </c>
      <c r="H295" s="18">
        <v>997.5</v>
      </c>
      <c r="I295" s="18">
        <v>1925.48</v>
      </c>
      <c r="J295" s="18">
        <v>5318.36</v>
      </c>
      <c r="K295" s="18"/>
      <c r="L295" s="19">
        <f>SUM(F295:K295)</f>
        <v>18451.75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11172.06</v>
      </c>
      <c r="G299" s="18">
        <v>7802.69</v>
      </c>
      <c r="H299" s="18">
        <v>1085.1600000000001</v>
      </c>
      <c r="I299" s="18"/>
      <c r="J299" s="18"/>
      <c r="K299" s="18"/>
      <c r="L299" s="19">
        <f t="shared" ref="L299:L305" si="14">SUM(F299:K299)</f>
        <v>20059.91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3521.42</v>
      </c>
      <c r="I300" s="18"/>
      <c r="J300" s="18"/>
      <c r="K300" s="18"/>
      <c r="L300" s="19">
        <f t="shared" si="14"/>
        <v>3521.42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1917.8</v>
      </c>
      <c r="I305" s="18"/>
      <c r="J305" s="18"/>
      <c r="K305" s="18"/>
      <c r="L305" s="19">
        <f t="shared" si="14"/>
        <v>1917.8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93527.069999999992</v>
      </c>
      <c r="G308" s="42">
        <f t="shared" si="15"/>
        <v>29963.429999999997</v>
      </c>
      <c r="H308" s="42">
        <f t="shared" si="15"/>
        <v>27388.12</v>
      </c>
      <c r="I308" s="42">
        <f t="shared" si="15"/>
        <v>12156.89</v>
      </c>
      <c r="J308" s="42">
        <f t="shared" si="15"/>
        <v>8132.41</v>
      </c>
      <c r="K308" s="42">
        <f t="shared" si="15"/>
        <v>1183.92</v>
      </c>
      <c r="L308" s="41">
        <f t="shared" si="15"/>
        <v>172351.84000000003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107462.62</v>
      </c>
      <c r="G313" s="18">
        <v>27259.279999999999</v>
      </c>
      <c r="H313" s="18">
        <v>35380.339999999997</v>
      </c>
      <c r="I313" s="18">
        <v>14616.29</v>
      </c>
      <c r="J313" s="18">
        <v>4020.08</v>
      </c>
      <c r="K313" s="18">
        <v>1691.31</v>
      </c>
      <c r="L313" s="19">
        <f>SUM(F313:K313)</f>
        <v>190429.91999999998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10187.39</v>
      </c>
      <c r="G314" s="18">
        <v>4398.92</v>
      </c>
      <c r="H314" s="18">
        <v>1425</v>
      </c>
      <c r="I314" s="18">
        <v>2750.68</v>
      </c>
      <c r="J314" s="18">
        <v>7597.65</v>
      </c>
      <c r="K314" s="18"/>
      <c r="L314" s="19">
        <f>SUM(F314:K314)</f>
        <v>26359.64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15960.08</v>
      </c>
      <c r="G318" s="18">
        <v>11146.71</v>
      </c>
      <c r="H318" s="18">
        <v>1550.23</v>
      </c>
      <c r="I318" s="18"/>
      <c r="J318" s="18"/>
      <c r="K318" s="18"/>
      <c r="L318" s="19">
        <f t="shared" ref="L318:L324" si="16">SUM(F318:K318)</f>
        <v>28657.02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5030.6000000000004</v>
      </c>
      <c r="I319" s="18"/>
      <c r="J319" s="18"/>
      <c r="K319" s="18"/>
      <c r="L319" s="19">
        <f t="shared" si="16"/>
        <v>5030.6000000000004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2739.71</v>
      </c>
      <c r="I324" s="18"/>
      <c r="J324" s="18"/>
      <c r="K324" s="18"/>
      <c r="L324" s="19">
        <f t="shared" si="16"/>
        <v>2739.71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133610.09</v>
      </c>
      <c r="G327" s="42">
        <f t="shared" si="17"/>
        <v>42804.909999999996</v>
      </c>
      <c r="H327" s="42">
        <f t="shared" si="17"/>
        <v>46125.88</v>
      </c>
      <c r="I327" s="42">
        <f t="shared" si="17"/>
        <v>17366.97</v>
      </c>
      <c r="J327" s="42">
        <f t="shared" si="17"/>
        <v>11617.73</v>
      </c>
      <c r="K327" s="42">
        <f t="shared" si="17"/>
        <v>1691.31</v>
      </c>
      <c r="L327" s="41">
        <f t="shared" si="17"/>
        <v>253216.88999999998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445366.98</v>
      </c>
      <c r="G337" s="41">
        <f t="shared" si="20"/>
        <v>142683.03</v>
      </c>
      <c r="H337" s="41">
        <f t="shared" si="20"/>
        <v>137419.59</v>
      </c>
      <c r="I337" s="41">
        <f t="shared" si="20"/>
        <v>57889.919999999998</v>
      </c>
      <c r="J337" s="41">
        <f t="shared" si="20"/>
        <v>38725.759999999995</v>
      </c>
      <c r="K337" s="41">
        <f t="shared" si="20"/>
        <v>5637.7</v>
      </c>
      <c r="L337" s="41">
        <f t="shared" si="20"/>
        <v>827722.9800000001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9181.58</v>
      </c>
      <c r="L343" s="19">
        <f t="shared" ref="L343:L349" si="21">SUM(F343:K343)</f>
        <v>9181.58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9181.58</v>
      </c>
      <c r="L350" s="41">
        <f>SUM(L340:L349)</f>
        <v>9181.58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445366.98</v>
      </c>
      <c r="G351" s="41">
        <f>G337</f>
        <v>142683.03</v>
      </c>
      <c r="H351" s="41">
        <f>H337</f>
        <v>137419.59</v>
      </c>
      <c r="I351" s="41">
        <f>I337</f>
        <v>57889.919999999998</v>
      </c>
      <c r="J351" s="41">
        <f>J337</f>
        <v>38725.759999999995</v>
      </c>
      <c r="K351" s="47">
        <f>K337+K350</f>
        <v>14819.279999999999</v>
      </c>
      <c r="L351" s="41">
        <f>L337+L350</f>
        <v>836904.56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150240.39000000001</v>
      </c>
      <c r="I357" s="18"/>
      <c r="J357" s="18"/>
      <c r="K357" s="18">
        <v>20</v>
      </c>
      <c r="L357" s="13">
        <f>SUM(F357:K357)</f>
        <v>150260.39000000001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64388.74</v>
      </c>
      <c r="I358" s="18"/>
      <c r="J358" s="18"/>
      <c r="K358" s="18"/>
      <c r="L358" s="19">
        <f>SUM(F358:K358)</f>
        <v>64388.74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91983.91</v>
      </c>
      <c r="I359" s="18"/>
      <c r="J359" s="18"/>
      <c r="K359" s="18"/>
      <c r="L359" s="19">
        <f>SUM(F359:K359)</f>
        <v>91983.91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306613.04000000004</v>
      </c>
      <c r="I361" s="47">
        <f t="shared" si="22"/>
        <v>0</v>
      </c>
      <c r="J361" s="47">
        <f t="shared" si="22"/>
        <v>0</v>
      </c>
      <c r="K361" s="47">
        <f t="shared" si="22"/>
        <v>20</v>
      </c>
      <c r="L361" s="47">
        <f t="shared" si="22"/>
        <v>306633.04000000004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3.27</v>
      </c>
      <c r="I388" s="18"/>
      <c r="J388" s="24" t="s">
        <v>289</v>
      </c>
      <c r="K388" s="24" t="s">
        <v>289</v>
      </c>
      <c r="L388" s="56">
        <f t="shared" si="25"/>
        <v>3.27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3.27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3.27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2971.1</v>
      </c>
      <c r="I395" s="18"/>
      <c r="J395" s="24" t="s">
        <v>289</v>
      </c>
      <c r="K395" s="24" t="s">
        <v>289</v>
      </c>
      <c r="L395" s="56">
        <f t="shared" si="26"/>
        <v>2971.1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2175.9</v>
      </c>
      <c r="I396" s="18"/>
      <c r="J396" s="24" t="s">
        <v>289</v>
      </c>
      <c r="K396" s="24" t="s">
        <v>289</v>
      </c>
      <c r="L396" s="56">
        <f t="shared" si="26"/>
        <v>2175.9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5147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5147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5150.2700000000004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5150.2700000000004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32534.54</v>
      </c>
      <c r="G441" s="18">
        <v>354971.79</v>
      </c>
      <c r="H441" s="18"/>
      <c r="I441" s="56">
        <f t="shared" si="33"/>
        <v>387506.32999999996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32534.54</v>
      </c>
      <c r="G445" s="13">
        <f>SUM(G438:G444)</f>
        <v>354971.79</v>
      </c>
      <c r="H445" s="13">
        <f>SUM(H438:H444)</f>
        <v>0</v>
      </c>
      <c r="I445" s="13">
        <f>SUM(I438:I444)</f>
        <v>387506.32999999996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32534.54</v>
      </c>
      <c r="G458" s="18">
        <v>354971.79</v>
      </c>
      <c r="H458" s="18"/>
      <c r="I458" s="56">
        <f t="shared" si="34"/>
        <v>387506.32999999996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32534.54</v>
      </c>
      <c r="G459" s="83">
        <f>SUM(G453:G458)</f>
        <v>354971.79</v>
      </c>
      <c r="H459" s="83">
        <f>SUM(H453:H458)</f>
        <v>0</v>
      </c>
      <c r="I459" s="83">
        <f>SUM(I453:I458)</f>
        <v>387506.32999999996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32534.54</v>
      </c>
      <c r="G460" s="42">
        <f>G451+G459</f>
        <v>354971.79</v>
      </c>
      <c r="H460" s="42">
        <f>H451+H459</f>
        <v>0</v>
      </c>
      <c r="I460" s="42">
        <f>I451+I459</f>
        <v>387506.32999999996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126379.33</v>
      </c>
      <c r="G464" s="18">
        <v>-15826.69</v>
      </c>
      <c r="H464" s="18"/>
      <c r="I464" s="18"/>
      <c r="J464" s="18">
        <v>382356.06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10728127.23</v>
      </c>
      <c r="G467" s="18">
        <v>306633.03999999998</v>
      </c>
      <c r="H467" s="18">
        <v>836904.56</v>
      </c>
      <c r="I467" s="18"/>
      <c r="J467" s="18">
        <v>5150.2700000000004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15826.69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10728127.23</v>
      </c>
      <c r="G469" s="53">
        <f>SUM(G467:G468)</f>
        <v>322459.73</v>
      </c>
      <c r="H469" s="53">
        <f>SUM(H467:H468)</f>
        <v>836904.56</v>
      </c>
      <c r="I469" s="53">
        <f>SUM(I467:I468)</f>
        <v>0</v>
      </c>
      <c r="J469" s="53">
        <f>SUM(J467:J468)</f>
        <v>5150.2700000000004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10686245.710000001</v>
      </c>
      <c r="G471" s="18">
        <v>306633.03999999998</v>
      </c>
      <c r="H471" s="18">
        <v>836904.56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19005.939999999999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10705251.65</v>
      </c>
      <c r="G473" s="53">
        <f>SUM(G471:G472)</f>
        <v>306633.03999999998</v>
      </c>
      <c r="H473" s="53">
        <f>SUM(H471:H472)</f>
        <v>836904.56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149254.91000000015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387506.33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 t="s">
        <v>911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915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13032960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9760000</v>
      </c>
      <c r="G494" s="18"/>
      <c r="H494" s="18"/>
      <c r="I494" s="18"/>
      <c r="J494" s="18"/>
      <c r="K494" s="53">
        <f>SUM(F494:J494)</f>
        <v>9760000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F494-F497</f>
        <v>655000</v>
      </c>
      <c r="G496" s="18"/>
      <c r="H496" s="18"/>
      <c r="I496" s="18"/>
      <c r="J496" s="18"/>
      <c r="K496" s="53">
        <f t="shared" si="35"/>
        <v>655000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9105000</v>
      </c>
      <c r="G497" s="205"/>
      <c r="H497" s="205"/>
      <c r="I497" s="205"/>
      <c r="J497" s="205"/>
      <c r="K497" s="206">
        <f t="shared" si="35"/>
        <v>9105000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2787047.25</v>
      </c>
      <c r="G498" s="18"/>
      <c r="H498" s="18"/>
      <c r="I498" s="18"/>
      <c r="J498" s="18"/>
      <c r="K498" s="53">
        <f t="shared" si="35"/>
        <v>2787047.25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11892047.25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11892047.25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655000</v>
      </c>
      <c r="G500" s="205"/>
      <c r="H500" s="205"/>
      <c r="I500" s="205"/>
      <c r="J500" s="205"/>
      <c r="K500" s="206">
        <f t="shared" si="35"/>
        <v>655000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395098.5</v>
      </c>
      <c r="G501" s="18"/>
      <c r="H501" s="18"/>
      <c r="I501" s="18"/>
      <c r="J501" s="18"/>
      <c r="K501" s="53">
        <f t="shared" si="35"/>
        <v>395098.5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1050098.5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1050098.5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598403.38</v>
      </c>
      <c r="G520" s="18">
        <v>193273.29</v>
      </c>
      <c r="H520" s="18">
        <v>5073.8500000000004</v>
      </c>
      <c r="I520" s="18">
        <v>8371.5300000000007</v>
      </c>
      <c r="J520" s="18">
        <v>12409.5</v>
      </c>
      <c r="K520" s="18"/>
      <c r="L520" s="88">
        <f>SUM(F520:K520)</f>
        <v>817531.55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256458.59</v>
      </c>
      <c r="G521" s="18">
        <v>82831.41</v>
      </c>
      <c r="H521" s="18">
        <v>225539.1</v>
      </c>
      <c r="I521" s="18">
        <v>3587.8</v>
      </c>
      <c r="J521" s="18">
        <v>5318.35</v>
      </c>
      <c r="K521" s="18"/>
      <c r="L521" s="88">
        <f>SUM(F521:K521)</f>
        <v>573735.25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366369.42</v>
      </c>
      <c r="G522" s="18">
        <v>118330.59</v>
      </c>
      <c r="H522" s="18">
        <v>338308.64</v>
      </c>
      <c r="I522" s="18">
        <v>5125.43</v>
      </c>
      <c r="J522" s="18">
        <v>7597.65</v>
      </c>
      <c r="K522" s="18"/>
      <c r="L522" s="88">
        <f>SUM(F522:K522)</f>
        <v>835731.7300000001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1221231.3899999999</v>
      </c>
      <c r="G523" s="108">
        <f t="shared" ref="G523:L523" si="36">SUM(G520:G522)</f>
        <v>394435.29000000004</v>
      </c>
      <c r="H523" s="108">
        <f t="shared" si="36"/>
        <v>568921.59000000008</v>
      </c>
      <c r="I523" s="108">
        <f t="shared" si="36"/>
        <v>17084.760000000002</v>
      </c>
      <c r="J523" s="108">
        <f t="shared" si="36"/>
        <v>25325.5</v>
      </c>
      <c r="K523" s="108">
        <f t="shared" si="36"/>
        <v>0</v>
      </c>
      <c r="L523" s="89">
        <f t="shared" si="36"/>
        <v>2226998.5300000003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101082.87</v>
      </c>
      <c r="G525" s="18">
        <v>53184.6</v>
      </c>
      <c r="H525" s="18">
        <v>57763.32</v>
      </c>
      <c r="I525" s="18">
        <v>961.29</v>
      </c>
      <c r="J525" s="18"/>
      <c r="K525" s="18">
        <v>117.6</v>
      </c>
      <c r="L525" s="88">
        <f>SUM(F525:K525)</f>
        <v>213109.68000000002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43321.23</v>
      </c>
      <c r="G526" s="18">
        <v>22793.4</v>
      </c>
      <c r="H526" s="18">
        <v>24756.69</v>
      </c>
      <c r="I526" s="18">
        <v>411.98</v>
      </c>
      <c r="J526" s="18"/>
      <c r="K526" s="18">
        <v>50.4</v>
      </c>
      <c r="L526" s="88">
        <f>SUM(F526:K526)</f>
        <v>91333.7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61887.47</v>
      </c>
      <c r="G527" s="18">
        <v>32562.01</v>
      </c>
      <c r="H527" s="18">
        <v>35366.300000000003</v>
      </c>
      <c r="I527" s="18">
        <v>588.54999999999995</v>
      </c>
      <c r="J527" s="18"/>
      <c r="K527" s="18">
        <v>72</v>
      </c>
      <c r="L527" s="88">
        <f>SUM(F527:K527)</f>
        <v>130476.33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206291.57</v>
      </c>
      <c r="G528" s="89">
        <f t="shared" ref="G528:L528" si="37">SUM(G525:G527)</f>
        <v>108540.01</v>
      </c>
      <c r="H528" s="89">
        <f t="shared" si="37"/>
        <v>117886.31</v>
      </c>
      <c r="I528" s="89">
        <f t="shared" si="37"/>
        <v>1961.82</v>
      </c>
      <c r="J528" s="89">
        <f t="shared" si="37"/>
        <v>0</v>
      </c>
      <c r="K528" s="89">
        <f t="shared" si="37"/>
        <v>240</v>
      </c>
      <c r="L528" s="89">
        <f t="shared" si="37"/>
        <v>434919.71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18189.150000000001</v>
      </c>
      <c r="G530" s="18">
        <v>1391.53</v>
      </c>
      <c r="H530" s="18"/>
      <c r="I530" s="18"/>
      <c r="J530" s="18"/>
      <c r="K530" s="18"/>
      <c r="L530" s="88">
        <f>SUM(F530:K530)</f>
        <v>19580.68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7795.35</v>
      </c>
      <c r="G531" s="18">
        <v>596.36</v>
      </c>
      <c r="H531" s="18"/>
      <c r="I531" s="18"/>
      <c r="J531" s="18"/>
      <c r="K531" s="18"/>
      <c r="L531" s="88">
        <f>SUM(F531:K531)</f>
        <v>8391.7100000000009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11136.22</v>
      </c>
      <c r="G532" s="18">
        <v>851.96</v>
      </c>
      <c r="H532" s="18"/>
      <c r="I532" s="18"/>
      <c r="J532" s="18"/>
      <c r="K532" s="18"/>
      <c r="L532" s="88">
        <f>SUM(F532:K532)</f>
        <v>11988.18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37120.720000000001</v>
      </c>
      <c r="G533" s="89">
        <f t="shared" ref="G533:L533" si="38">SUM(G530:G532)</f>
        <v>2839.85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39960.57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15825.47</v>
      </c>
      <c r="I540" s="18"/>
      <c r="J540" s="18"/>
      <c r="K540" s="18"/>
      <c r="L540" s="88">
        <f>SUM(F540:K540)</f>
        <v>15825.47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71223.61</v>
      </c>
      <c r="I541" s="18"/>
      <c r="J541" s="18"/>
      <c r="K541" s="18"/>
      <c r="L541" s="88">
        <f>SUM(F541:K541)</f>
        <v>71223.61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71223.61</v>
      </c>
      <c r="I542" s="18"/>
      <c r="J542" s="18"/>
      <c r="K542" s="18"/>
      <c r="L542" s="88">
        <f>SUM(F542:K542)</f>
        <v>71223.61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158272.69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158272.69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1464643.68</v>
      </c>
      <c r="G544" s="89">
        <f t="shared" ref="G544:L544" si="41">G523+G528+G533+G538+G543</f>
        <v>505815.15</v>
      </c>
      <c r="H544" s="89">
        <f t="shared" si="41"/>
        <v>845080.59000000008</v>
      </c>
      <c r="I544" s="89">
        <f t="shared" si="41"/>
        <v>19046.580000000002</v>
      </c>
      <c r="J544" s="89">
        <f t="shared" si="41"/>
        <v>25325.5</v>
      </c>
      <c r="K544" s="89">
        <f t="shared" si="41"/>
        <v>240</v>
      </c>
      <c r="L544" s="89">
        <f t="shared" si="41"/>
        <v>2860151.5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817531.55</v>
      </c>
      <c r="G548" s="87">
        <f>L525</f>
        <v>213109.68000000002</v>
      </c>
      <c r="H548" s="87">
        <f>L530</f>
        <v>19580.68</v>
      </c>
      <c r="I548" s="87">
        <f>L535</f>
        <v>0</v>
      </c>
      <c r="J548" s="87">
        <f>L540</f>
        <v>15825.47</v>
      </c>
      <c r="K548" s="87">
        <f>SUM(F548:J548)</f>
        <v>1066047.3800000001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573735.25</v>
      </c>
      <c r="G549" s="87">
        <f>L526</f>
        <v>91333.7</v>
      </c>
      <c r="H549" s="87">
        <f>L531</f>
        <v>8391.7100000000009</v>
      </c>
      <c r="I549" s="87">
        <f>L536</f>
        <v>0</v>
      </c>
      <c r="J549" s="87">
        <f>L541</f>
        <v>71223.61</v>
      </c>
      <c r="K549" s="87">
        <f>SUM(F549:J549)</f>
        <v>744684.2699999999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835731.7300000001</v>
      </c>
      <c r="G550" s="87">
        <f>L527</f>
        <v>130476.33</v>
      </c>
      <c r="H550" s="87">
        <f>L532</f>
        <v>11988.18</v>
      </c>
      <c r="I550" s="87">
        <f>L537</f>
        <v>0</v>
      </c>
      <c r="J550" s="87">
        <f>L542</f>
        <v>71223.61</v>
      </c>
      <c r="K550" s="87">
        <f>SUM(F550:J550)</f>
        <v>1049419.8500000001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2226998.5300000003</v>
      </c>
      <c r="G551" s="89">
        <f t="shared" si="42"/>
        <v>434919.71</v>
      </c>
      <c r="H551" s="89">
        <f t="shared" si="42"/>
        <v>39960.57</v>
      </c>
      <c r="I551" s="89">
        <f t="shared" si="42"/>
        <v>0</v>
      </c>
      <c r="J551" s="89">
        <f t="shared" si="42"/>
        <v>158272.69</v>
      </c>
      <c r="K551" s="89">
        <f t="shared" si="42"/>
        <v>2860151.5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1170</v>
      </c>
      <c r="I575" s="87">
        <f t="shared" ref="I575:I586" si="47">SUM(F575:H575)</f>
        <v>1170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67771.59</v>
      </c>
      <c r="H578" s="18"/>
      <c r="I578" s="87">
        <f t="shared" si="47"/>
        <v>67771.59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45843.23</v>
      </c>
      <c r="I579" s="87">
        <f t="shared" si="47"/>
        <v>45843.23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146941.99</v>
      </c>
      <c r="H581" s="18">
        <v>302883.98</v>
      </c>
      <c r="I581" s="87">
        <f t="shared" si="47"/>
        <v>449825.97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56598.89</v>
      </c>
      <c r="I584" s="87">
        <f t="shared" si="47"/>
        <v>56598.89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89999.89</v>
      </c>
      <c r="I590" s="18">
        <v>38570.949999999997</v>
      </c>
      <c r="J590" s="18">
        <v>55101.36</v>
      </c>
      <c r="K590" s="104">
        <f t="shared" ref="K590:K596" si="48">SUM(H590:J590)</f>
        <v>183672.2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15825.47</v>
      </c>
      <c r="I591" s="18">
        <v>71223.61</v>
      </c>
      <c r="J591" s="18">
        <v>71223.61</v>
      </c>
      <c r="K591" s="104">
        <f t="shared" si="48"/>
        <v>158272.69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71064</v>
      </c>
      <c r="K592" s="104">
        <f t="shared" si="48"/>
        <v>71064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15764.3</v>
      </c>
      <c r="J593" s="18">
        <v>23646.44</v>
      </c>
      <c r="K593" s="104">
        <f t="shared" si="48"/>
        <v>39410.74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2654.42</v>
      </c>
      <c r="I594" s="18">
        <v>3050.95</v>
      </c>
      <c r="J594" s="18">
        <v>4576.43</v>
      </c>
      <c r="K594" s="104">
        <f t="shared" si="48"/>
        <v>10281.799999999999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108479.78</v>
      </c>
      <c r="I597" s="108">
        <f>SUM(I590:I596)</f>
        <v>128609.81</v>
      </c>
      <c r="J597" s="108">
        <f>SUM(J590:J596)</f>
        <v>225611.84</v>
      </c>
      <c r="K597" s="108">
        <f>SUM(K590:K596)</f>
        <v>462701.43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43885.69</v>
      </c>
      <c r="I603" s="18">
        <v>19918.150000000001</v>
      </c>
      <c r="J603" s="18">
        <v>28533.77</v>
      </c>
      <c r="K603" s="104">
        <f>SUM(H603:J603)</f>
        <v>92337.61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43885.69</v>
      </c>
      <c r="I604" s="108">
        <f>SUM(I601:I603)</f>
        <v>19918.150000000001</v>
      </c>
      <c r="J604" s="108">
        <f>SUM(J601:J603)</f>
        <v>28533.77</v>
      </c>
      <c r="K604" s="108">
        <f>SUM(K601:K603)</f>
        <v>92337.61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7680</v>
      </c>
      <c r="G610" s="18">
        <v>876.87</v>
      </c>
      <c r="H610" s="18"/>
      <c r="I610" s="18"/>
      <c r="J610" s="18"/>
      <c r="K610" s="18"/>
      <c r="L610" s="88">
        <f>SUM(F610:K610)</f>
        <v>8556.8700000000008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2928.03</v>
      </c>
      <c r="G611" s="18">
        <v>433.11</v>
      </c>
      <c r="H611" s="18"/>
      <c r="I611" s="18">
        <v>638.08000000000004</v>
      </c>
      <c r="J611" s="18"/>
      <c r="K611" s="18"/>
      <c r="L611" s="88">
        <f>SUM(F611:K611)</f>
        <v>3999.2200000000003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4392.05</v>
      </c>
      <c r="G612" s="18">
        <v>649.66</v>
      </c>
      <c r="H612" s="18"/>
      <c r="I612" s="18">
        <v>957.12</v>
      </c>
      <c r="J612" s="18"/>
      <c r="K612" s="18"/>
      <c r="L612" s="88">
        <f>SUM(F612:K612)</f>
        <v>5998.83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15000.080000000002</v>
      </c>
      <c r="G613" s="108">
        <f t="shared" si="49"/>
        <v>1959.6399999999999</v>
      </c>
      <c r="H613" s="108">
        <f t="shared" si="49"/>
        <v>0</v>
      </c>
      <c r="I613" s="108">
        <f t="shared" si="49"/>
        <v>1595.2</v>
      </c>
      <c r="J613" s="108">
        <f t="shared" si="49"/>
        <v>0</v>
      </c>
      <c r="K613" s="108">
        <f t="shared" si="49"/>
        <v>0</v>
      </c>
      <c r="L613" s="89">
        <f t="shared" si="49"/>
        <v>18554.919999999998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834797.46</v>
      </c>
      <c r="H616" s="109">
        <f>SUM(F51)</f>
        <v>834797.46000000008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27804.84</v>
      </c>
      <c r="H617" s="109">
        <f>SUM(G51)</f>
        <v>27804.839999999997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220625.8</v>
      </c>
      <c r="H618" s="109">
        <f>SUM(H51)</f>
        <v>220625.8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387506.32999999996</v>
      </c>
      <c r="H620" s="109">
        <f>SUM(J51)</f>
        <v>387506.32999999996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149254.91</v>
      </c>
      <c r="H621" s="109">
        <f>F475</f>
        <v>149254.91000000015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387506.32999999996</v>
      </c>
      <c r="H625" s="109">
        <f>J475</f>
        <v>387506.33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10728127.23</v>
      </c>
      <c r="H626" s="104">
        <f>SUM(F467)</f>
        <v>10728127.23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306633.04000000004</v>
      </c>
      <c r="H627" s="104">
        <f>SUM(G467)</f>
        <v>306633.03999999998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836904.55999999994</v>
      </c>
      <c r="H628" s="104">
        <f>SUM(H467)</f>
        <v>836904.56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5150.2700000000004</v>
      </c>
      <c r="H630" s="104">
        <f>SUM(J467)</f>
        <v>5150.2700000000004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10686245.710000001</v>
      </c>
      <c r="H631" s="104">
        <f>SUM(F471)</f>
        <v>10686245.710000001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836904.56</v>
      </c>
      <c r="H632" s="104">
        <f>SUM(H471)</f>
        <v>836904.56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306633.04000000004</v>
      </c>
      <c r="H634" s="104">
        <f>SUM(G471)</f>
        <v>306633.03999999998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5150.2700000000004</v>
      </c>
      <c r="H636" s="164">
        <f>SUM(J467)</f>
        <v>5150.2700000000004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32534.54</v>
      </c>
      <c r="H638" s="104">
        <f>SUM(F460)</f>
        <v>32534.54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354971.79</v>
      </c>
      <c r="H639" s="104">
        <f>SUM(G460)</f>
        <v>354971.79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387506.32999999996</v>
      </c>
      <c r="H641" s="104">
        <f>SUM(I460)</f>
        <v>387506.32999999996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5150.2700000000004</v>
      </c>
      <c r="H643" s="104">
        <f>H407</f>
        <v>5150.2700000000004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5150.2700000000004</v>
      </c>
      <c r="H645" s="104">
        <f>L407</f>
        <v>5150.2700000000004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462701.43</v>
      </c>
      <c r="H646" s="104">
        <f>L207+L225+L243</f>
        <v>462701.43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92337.61</v>
      </c>
      <c r="H647" s="104">
        <f>(J256+J337)-(J254+J335)</f>
        <v>92337.609999999986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108479.78</v>
      </c>
      <c r="H648" s="104">
        <f>H597</f>
        <v>108479.78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128609.81</v>
      </c>
      <c r="H649" s="104">
        <f>I597</f>
        <v>128609.81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225611.84</v>
      </c>
      <c r="H650" s="104">
        <f>J597</f>
        <v>225611.84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2110.52</v>
      </c>
      <c r="H651" s="104">
        <f>K262+K344</f>
        <v>2110.52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146.25</v>
      </c>
      <c r="H652" s="104">
        <f>K263</f>
        <v>146.25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4474812.8999999994</v>
      </c>
      <c r="G659" s="19">
        <f>(L228+L308+L358)</f>
        <v>2437475.2300000004</v>
      </c>
      <c r="H659" s="19">
        <f>(L246+L327+L359)</f>
        <v>3823213.330000001</v>
      </c>
      <c r="I659" s="19">
        <f>SUM(F659:H659)</f>
        <v>10735501.460000001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63933.106387619868</v>
      </c>
      <c r="G660" s="19">
        <f>(L358/IF(SUM(L357:L359)=0,1,SUM(L357:L359))*(SUM(G96:G109)))</f>
        <v>27396.256355948459</v>
      </c>
      <c r="H660" s="19">
        <f>(L359/IF(SUM(L357:L359)=0,1,SUM(L357:L359))*(SUM(G96:G109)))</f>
        <v>39137.507256431658</v>
      </c>
      <c r="I660" s="19">
        <f>SUM(F660:H660)</f>
        <v>130466.87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112954.64</v>
      </c>
      <c r="G661" s="19">
        <f>(L225+L305)-(J225+J305)</f>
        <v>130527.61</v>
      </c>
      <c r="H661" s="19">
        <f>(L243+L324)-(J243+J324)</f>
        <v>228351.55</v>
      </c>
      <c r="I661" s="19">
        <f>SUM(F661:H661)</f>
        <v>471833.8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52442.560000000005</v>
      </c>
      <c r="G662" s="200">
        <f>SUM(G574:G586)+SUM(I601:I603)+L611</f>
        <v>238630.94999999998</v>
      </c>
      <c r="H662" s="200">
        <f>SUM(H574:H586)+SUM(J601:J603)+L612</f>
        <v>441028.7</v>
      </c>
      <c r="I662" s="19">
        <f>SUM(F662:H662)</f>
        <v>732102.21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4245482.5936123794</v>
      </c>
      <c r="G663" s="19">
        <f>G659-SUM(G660:G662)</f>
        <v>2040920.4136440521</v>
      </c>
      <c r="H663" s="19">
        <f>H659-SUM(H660:H662)</f>
        <v>3114695.5727435695</v>
      </c>
      <c r="I663" s="19">
        <f>I659-SUM(I660:I662)</f>
        <v>9401098.5800000019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288.66000000000003</v>
      </c>
      <c r="G664" s="249">
        <v>118.06</v>
      </c>
      <c r="H664" s="249">
        <v>176.56</v>
      </c>
      <c r="I664" s="19">
        <f>SUM(F664:H664)</f>
        <v>583.28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14707.55</v>
      </c>
      <c r="G666" s="19">
        <f>ROUND(G663/G664,2)</f>
        <v>17287.150000000001</v>
      </c>
      <c r="H666" s="19">
        <f>ROUND(H663/H664,2)</f>
        <v>17641</v>
      </c>
      <c r="I666" s="19">
        <f>ROUND(I663/I664,2)</f>
        <v>16117.64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-4.2300000000000004</v>
      </c>
      <c r="I669" s="19">
        <f>SUM(F669:H669)</f>
        <v>-4.2300000000000004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14707.55</v>
      </c>
      <c r="G671" s="19">
        <f>ROUND((G663+G668)/(G664+G669),2)</f>
        <v>17287.150000000001</v>
      </c>
      <c r="H671" s="19">
        <f>ROUND((H663+H668)/(H664+H669),2)</f>
        <v>18074.02</v>
      </c>
      <c r="I671" s="19">
        <f>ROUND((I663+I668)/(I664+I669),2)</f>
        <v>16235.38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HINSDALE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2485505.5299999998</v>
      </c>
      <c r="C9" s="230">
        <f>'DOE25'!G196+'DOE25'!G214+'DOE25'!G232+'DOE25'!G275+'DOE25'!G294+'DOE25'!G313</f>
        <v>1178679.47</v>
      </c>
    </row>
    <row r="10" spans="1:3">
      <c r="A10" t="s">
        <v>779</v>
      </c>
      <c r="B10" s="241">
        <v>2313071.4900000002</v>
      </c>
      <c r="C10" s="241">
        <v>1132617.44</v>
      </c>
    </row>
    <row r="11" spans="1:3">
      <c r="A11" t="s">
        <v>780</v>
      </c>
      <c r="B11" s="241">
        <v>67466.48</v>
      </c>
      <c r="C11" s="241">
        <v>11744.48</v>
      </c>
    </row>
    <row r="12" spans="1:3">
      <c r="A12" t="s">
        <v>781</v>
      </c>
      <c r="B12" s="241">
        <v>104967.56</v>
      </c>
      <c r="C12" s="241">
        <v>34317.550000000003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2485505.5300000003</v>
      </c>
      <c r="C13" s="232">
        <f>SUM(C10:C12)</f>
        <v>1178679.47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1221231.3899999997</v>
      </c>
      <c r="C18" s="230">
        <f>'DOE25'!G197+'DOE25'!G215+'DOE25'!G233+'DOE25'!G276+'DOE25'!G295+'DOE25'!G314</f>
        <v>394435.29</v>
      </c>
    </row>
    <row r="19" spans="1:3">
      <c r="A19" t="s">
        <v>779</v>
      </c>
      <c r="B19" s="241">
        <v>637564.04</v>
      </c>
      <c r="C19" s="241">
        <v>324224.27</v>
      </c>
    </row>
    <row r="20" spans="1:3">
      <c r="A20" t="s">
        <v>780</v>
      </c>
      <c r="B20" s="241">
        <v>583667.35</v>
      </c>
      <c r="C20" s="241">
        <v>70211.02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1221231.3900000001</v>
      </c>
      <c r="C22" s="232">
        <f>SUM(C19:C21)</f>
        <v>394435.29000000004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9845</v>
      </c>
      <c r="C27" s="235">
        <f>'DOE25'!G198+'DOE25'!G216+'DOE25'!G234+'DOE25'!G277+'DOE25'!G296+'DOE25'!G315</f>
        <v>753.15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>
        <v>9845</v>
      </c>
      <c r="C30" s="241">
        <v>753.15</v>
      </c>
    </row>
    <row r="31" spans="1:3">
      <c r="A31" t="str">
        <f>IF(B27=B31,IF(C27=C31,"Check Total OK","Check Total Error"),"Check Total Error")</f>
        <v>Check Total OK</v>
      </c>
      <c r="B31" s="232">
        <f>SUM(B28:B30)</f>
        <v>9845</v>
      </c>
      <c r="C31" s="232">
        <f>SUM(C28:C30)</f>
        <v>753.15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76486.58</v>
      </c>
      <c r="C36" s="236">
        <f>'DOE25'!G199+'DOE25'!G217+'DOE25'!G235+'DOE25'!G278+'DOE25'!G297+'DOE25'!G316</f>
        <v>10821.009999999998</v>
      </c>
    </row>
    <row r="37" spans="1:3">
      <c r="A37" t="s">
        <v>779</v>
      </c>
      <c r="B37" s="241">
        <v>61114.95</v>
      </c>
      <c r="C37" s="241">
        <v>9645.08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15371.63</v>
      </c>
      <c r="C39" s="241">
        <v>1175.93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76486.58</v>
      </c>
      <c r="C40" s="232">
        <f>SUM(C37:C39)</f>
        <v>10821.01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HINSDALE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5744661.2200000007</v>
      </c>
      <c r="D5" s="20">
        <f>SUM('DOE25'!L196:L199)+SUM('DOE25'!L214:L217)+SUM('DOE25'!L232:L235)-F5-G5</f>
        <v>5734046.790000001</v>
      </c>
      <c r="E5" s="244"/>
      <c r="F5" s="256">
        <f>SUM('DOE25'!J196:J199)+SUM('DOE25'!J214:J217)+SUM('DOE25'!J232:J235)</f>
        <v>2774.9700000000003</v>
      </c>
      <c r="G5" s="53">
        <f>SUM('DOE25'!K196:K199)+SUM('DOE25'!K214:K217)+SUM('DOE25'!K232:K235)</f>
        <v>7839.4599999999991</v>
      </c>
      <c r="H5" s="260"/>
    </row>
    <row r="6" spans="1:9">
      <c r="A6" s="32">
        <v>2100</v>
      </c>
      <c r="B6" t="s">
        <v>801</v>
      </c>
      <c r="C6" s="246">
        <f t="shared" si="0"/>
        <v>778581.67</v>
      </c>
      <c r="D6" s="20">
        <f>'DOE25'!L201+'DOE25'!L219+'DOE25'!L237-F6-G6</f>
        <v>778261.67</v>
      </c>
      <c r="E6" s="244"/>
      <c r="F6" s="256">
        <f>'DOE25'!J201+'DOE25'!J219+'DOE25'!J237</f>
        <v>0</v>
      </c>
      <c r="G6" s="53">
        <f>'DOE25'!K201+'DOE25'!K219+'DOE25'!K237</f>
        <v>320</v>
      </c>
      <c r="H6" s="260"/>
    </row>
    <row r="7" spans="1:9">
      <c r="A7" s="32">
        <v>2200</v>
      </c>
      <c r="B7" t="s">
        <v>834</v>
      </c>
      <c r="C7" s="246">
        <f t="shared" si="0"/>
        <v>131357.88</v>
      </c>
      <c r="D7" s="20">
        <f>'DOE25'!L202+'DOE25'!L220+'DOE25'!L238-F7-G7</f>
        <v>131337.88</v>
      </c>
      <c r="E7" s="244"/>
      <c r="F7" s="256">
        <f>'DOE25'!J202+'DOE25'!J220+'DOE25'!J238</f>
        <v>0</v>
      </c>
      <c r="G7" s="53">
        <f>'DOE25'!K202+'DOE25'!K220+'DOE25'!K238</f>
        <v>20</v>
      </c>
      <c r="H7" s="260"/>
    </row>
    <row r="8" spans="1:9">
      <c r="A8" s="32">
        <v>2300</v>
      </c>
      <c r="B8" t="s">
        <v>802</v>
      </c>
      <c r="C8" s="246">
        <f t="shared" si="0"/>
        <v>362391.85000000003</v>
      </c>
      <c r="D8" s="244"/>
      <c r="E8" s="20">
        <f>'DOE25'!L203+'DOE25'!L221+'DOE25'!L239-F8-G8-D9-D11</f>
        <v>354301.13000000006</v>
      </c>
      <c r="F8" s="256">
        <f>'DOE25'!J203+'DOE25'!J221+'DOE25'!J239</f>
        <v>0</v>
      </c>
      <c r="G8" s="53">
        <f>'DOE25'!K203+'DOE25'!K221+'DOE25'!K239</f>
        <v>8090.7199999999993</v>
      </c>
      <c r="H8" s="260"/>
    </row>
    <row r="9" spans="1:9">
      <c r="A9" s="32">
        <v>2310</v>
      </c>
      <c r="B9" t="s">
        <v>818</v>
      </c>
      <c r="C9" s="246">
        <f t="shared" si="0"/>
        <v>43759.85</v>
      </c>
      <c r="D9" s="245">
        <v>43759.85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16343.84</v>
      </c>
      <c r="D10" s="244"/>
      <c r="E10" s="245">
        <v>16343.84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153016.18</v>
      </c>
      <c r="D11" s="245">
        <v>153016.18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800346.23</v>
      </c>
      <c r="D12" s="20">
        <f>'DOE25'!L204+'DOE25'!L222+'DOE25'!L240-F12-G12</f>
        <v>796342.23</v>
      </c>
      <c r="E12" s="244"/>
      <c r="F12" s="256">
        <f>'DOE25'!J204+'DOE25'!J222+'DOE25'!J240</f>
        <v>0</v>
      </c>
      <c r="G12" s="53">
        <f>'DOE25'!K204+'DOE25'!K222+'DOE25'!K240</f>
        <v>4004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1015174.1599999999</v>
      </c>
      <c r="D14" s="20">
        <f>'DOE25'!L206+'DOE25'!L224+'DOE25'!L242-F14-G14</f>
        <v>997079.74999999988</v>
      </c>
      <c r="E14" s="244"/>
      <c r="F14" s="256">
        <f>'DOE25'!J206+'DOE25'!J224+'DOE25'!J242</f>
        <v>18094.41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462701.43</v>
      </c>
      <c r="D15" s="20">
        <f>'DOE25'!L207+'DOE25'!L225+'DOE25'!L243-F15-G15</f>
        <v>462701.43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109154.97</v>
      </c>
      <c r="D16" s="244"/>
      <c r="E16" s="20">
        <f>'DOE25'!L208+'DOE25'!L226+'DOE25'!L244-F16-G16</f>
        <v>76227.5</v>
      </c>
      <c r="F16" s="256">
        <f>'DOE25'!J208+'DOE25'!J226+'DOE25'!J244</f>
        <v>32742.47</v>
      </c>
      <c r="G16" s="53">
        <f>'DOE25'!K208+'DOE25'!K226+'DOE25'!K244</f>
        <v>185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1082843.5</v>
      </c>
      <c r="D25" s="244"/>
      <c r="E25" s="244"/>
      <c r="F25" s="259"/>
      <c r="G25" s="257"/>
      <c r="H25" s="258">
        <f>'DOE25'!L259+'DOE25'!L260+'DOE25'!L340+'DOE25'!L341</f>
        <v>1082843.5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306633.04000000004</v>
      </c>
      <c r="D29" s="20">
        <f>'DOE25'!L357+'DOE25'!L358+'DOE25'!L359-'DOE25'!I366-F29-G29</f>
        <v>306613.04000000004</v>
      </c>
      <c r="E29" s="244"/>
      <c r="F29" s="256">
        <f>'DOE25'!J357+'DOE25'!J358+'DOE25'!J359</f>
        <v>0</v>
      </c>
      <c r="G29" s="53">
        <f>'DOE25'!K357+'DOE25'!K358+'DOE25'!K359</f>
        <v>20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827722.9800000001</v>
      </c>
      <c r="D31" s="20">
        <f>'DOE25'!L289+'DOE25'!L308+'DOE25'!L327+'DOE25'!L332+'DOE25'!L333+'DOE25'!L334-F31-G31</f>
        <v>783359.52000000014</v>
      </c>
      <c r="E31" s="244"/>
      <c r="F31" s="256">
        <f>'DOE25'!J289+'DOE25'!J308+'DOE25'!J327+'DOE25'!J332+'DOE25'!J333+'DOE25'!J334</f>
        <v>38725.759999999995</v>
      </c>
      <c r="G31" s="53">
        <f>'DOE25'!K289+'DOE25'!K308+'DOE25'!K327+'DOE25'!K332+'DOE25'!K333+'DOE25'!K334</f>
        <v>5637.7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10186518.34</v>
      </c>
      <c r="E33" s="247">
        <f>SUM(E5:E31)</f>
        <v>446872.47000000009</v>
      </c>
      <c r="F33" s="247">
        <f>SUM(F5:F31)</f>
        <v>92337.61</v>
      </c>
      <c r="G33" s="247">
        <f>SUM(G5:G31)</f>
        <v>26116.880000000001</v>
      </c>
      <c r="H33" s="247">
        <f>SUM(H5:H31)</f>
        <v>1082843.5</v>
      </c>
    </row>
    <row r="35" spans="2:8" ht="12" thickBot="1">
      <c r="B35" s="254" t="s">
        <v>847</v>
      </c>
      <c r="D35" s="255">
        <f>E33</f>
        <v>446872.47000000009</v>
      </c>
      <c r="E35" s="250"/>
    </row>
    <row r="36" spans="2:8" ht="12" thickTop="1">
      <c r="B36" t="s">
        <v>815</v>
      </c>
      <c r="D36" s="20">
        <f>D33</f>
        <v>10186518.34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HINSDALE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663024.98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139013.98000000001</v>
      </c>
      <c r="D11" s="95">
        <f>'DOE25'!G12</f>
        <v>15140.73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32758.5</v>
      </c>
      <c r="D12" s="95">
        <f>'DOE25'!G13</f>
        <v>10588.66</v>
      </c>
      <c r="E12" s="95">
        <f>'DOE25'!H13</f>
        <v>220625.8</v>
      </c>
      <c r="F12" s="95">
        <f>'DOE25'!I13</f>
        <v>0</v>
      </c>
      <c r="G12" s="95">
        <f>'DOE25'!J13</f>
        <v>387506.32999999996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1332.7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742.75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834797.46</v>
      </c>
      <c r="D18" s="41">
        <f>SUM(D8:D17)</f>
        <v>27804.84</v>
      </c>
      <c r="E18" s="41">
        <f>SUM(E8:E17)</f>
        <v>220625.8</v>
      </c>
      <c r="F18" s="41">
        <f>SUM(F8:F17)</f>
        <v>0</v>
      </c>
      <c r="G18" s="41">
        <f>SUM(G8:G17)</f>
        <v>387506.32999999996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154154.71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88099.05</v>
      </c>
      <c r="D22" s="95">
        <f>'DOE25'!G23</f>
        <v>4085.35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78876.820000000007</v>
      </c>
      <c r="D23" s="95">
        <f>'DOE25'!G24</f>
        <v>23719.489999999998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518566.68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66471.09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685542.55</v>
      </c>
      <c r="D31" s="41">
        <f>SUM(D21:D30)</f>
        <v>27804.839999999997</v>
      </c>
      <c r="E31" s="41">
        <f>SUM(E21:E30)</f>
        <v>220625.8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387506.32999999996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99254.91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149254.91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387506.32999999996</v>
      </c>
      <c r="H49" s="124"/>
      <c r="I49" s="124"/>
    </row>
    <row r="50" spans="1:9" ht="12" thickTop="1">
      <c r="A50" s="38" t="s">
        <v>895</v>
      </c>
      <c r="B50" s="2"/>
      <c r="C50" s="41">
        <f>C49+C31</f>
        <v>834797.46000000008</v>
      </c>
      <c r="D50" s="41">
        <f>D49+D31</f>
        <v>27804.839999999997</v>
      </c>
      <c r="E50" s="41">
        <f>E49+E31</f>
        <v>220625.8</v>
      </c>
      <c r="F50" s="41">
        <f>F49+F31</f>
        <v>0</v>
      </c>
      <c r="G50" s="41">
        <f>G49+G31</f>
        <v>387506.32999999996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4473646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92292.32</v>
      </c>
      <c r="D56" s="24" t="s">
        <v>289</v>
      </c>
      <c r="E56" s="95">
        <f>'DOE25'!H78</f>
        <v>22285.46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778.35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5150.2700000000004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130466.87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89117.2</v>
      </c>
      <c r="D60" s="95">
        <f>SUM('DOE25'!G97:G109)</f>
        <v>0</v>
      </c>
      <c r="E60" s="95">
        <f>SUM('DOE25'!H97:H109)</f>
        <v>7100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182187.87</v>
      </c>
      <c r="D61" s="130">
        <f>SUM(D56:D60)</f>
        <v>130466.87</v>
      </c>
      <c r="E61" s="130">
        <f>SUM(E56:E60)</f>
        <v>29385.46</v>
      </c>
      <c r="F61" s="130">
        <f>SUM(F56:F60)</f>
        <v>0</v>
      </c>
      <c r="G61" s="130">
        <f>SUM(G56:G60)</f>
        <v>5150.2700000000004</v>
      </c>
      <c r="H61"/>
      <c r="I61"/>
    </row>
    <row r="62" spans="1:9" ht="12" thickTop="1">
      <c r="A62" s="29" t="s">
        <v>175</v>
      </c>
      <c r="B62" s="6"/>
      <c r="C62" s="22">
        <f>C55+C61</f>
        <v>4655833.87</v>
      </c>
      <c r="D62" s="22">
        <f>D55+D61</f>
        <v>130466.87</v>
      </c>
      <c r="E62" s="22">
        <f>E55+E61</f>
        <v>29385.46</v>
      </c>
      <c r="F62" s="22">
        <f>F55+F61</f>
        <v>0</v>
      </c>
      <c r="G62" s="22">
        <f>G55+G61</f>
        <v>5150.2700000000004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4641679.29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585676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4021.71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7387.34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5238764.34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462802.59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157311.70000000001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70395.399999999994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3300</v>
      </c>
      <c r="D76" s="95">
        <f>SUM('DOE25'!G130:G134)</f>
        <v>12930.73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693809.69000000006</v>
      </c>
      <c r="D77" s="130">
        <f>SUM(D71:D76)</f>
        <v>12930.73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5932574.0300000003</v>
      </c>
      <c r="D80" s="130">
        <f>SUM(D78:D79)+D77+D69</f>
        <v>12930.73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69795.67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139719.32999999999</v>
      </c>
      <c r="D87" s="95">
        <f>SUM('DOE25'!G152:G160)</f>
        <v>161124.92000000001</v>
      </c>
      <c r="E87" s="95">
        <f>SUM('DOE25'!H152:H160)</f>
        <v>737577.17999999993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139719.32999999999</v>
      </c>
      <c r="D90" s="131">
        <f>SUM(D84:D89)</f>
        <v>161124.92000000001</v>
      </c>
      <c r="E90" s="131">
        <f>SUM(E84:E89)</f>
        <v>807372.85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2110.52</v>
      </c>
      <c r="E95" s="95">
        <f>'DOE25'!H178</f>
        <v>146.25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2110.52</v>
      </c>
      <c r="E102" s="86">
        <f>SUM(E92:E101)</f>
        <v>146.25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10728127.23</v>
      </c>
      <c r="D103" s="86">
        <f>D62+D80+D90+D102</f>
        <v>306633.04000000004</v>
      </c>
      <c r="E103" s="86">
        <f>E62+E80+E90+E102</f>
        <v>836904.55999999994</v>
      </c>
      <c r="F103" s="86">
        <f>F62+F80+F90+F102</f>
        <v>0</v>
      </c>
      <c r="G103" s="86">
        <f>G62+G80+G102</f>
        <v>5150.2700000000004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3358755.44</v>
      </c>
      <c r="D108" s="24" t="s">
        <v>289</v>
      </c>
      <c r="E108" s="95">
        <f>('DOE25'!L275)+('DOE25'!L294)+('DOE25'!L313)</f>
        <v>618433.07999999996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2185831.94</v>
      </c>
      <c r="D109" s="24" t="s">
        <v>289</v>
      </c>
      <c r="E109" s="95">
        <f>('DOE25'!L276)+('DOE25'!L295)+('DOE25'!L314)</f>
        <v>87865.47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68506.22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131567.62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5744661.2199999997</v>
      </c>
      <c r="D114" s="86">
        <f>SUM(D108:D113)</f>
        <v>0</v>
      </c>
      <c r="E114" s="86">
        <f>SUM(E108:E113)</f>
        <v>706298.54999999993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778581.67</v>
      </c>
      <c r="D117" s="24" t="s">
        <v>289</v>
      </c>
      <c r="E117" s="95">
        <f>+('DOE25'!L280)+('DOE25'!L299)+('DOE25'!L318)</f>
        <v>95523.400000000009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131357.88</v>
      </c>
      <c r="D118" s="24" t="s">
        <v>289</v>
      </c>
      <c r="E118" s="95">
        <f>+('DOE25'!L281)+('DOE25'!L300)+('DOE25'!L319)</f>
        <v>16768.66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559167.88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800346.23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1015174.1599999999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462701.43</v>
      </c>
      <c r="D123" s="24" t="s">
        <v>289</v>
      </c>
      <c r="E123" s="95">
        <f>+('DOE25'!L286)+('DOE25'!L305)+('DOE25'!L324)</f>
        <v>9132.369999999999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109154.97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306633.04000000004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3856484.2200000007</v>
      </c>
      <c r="D127" s="86">
        <f>SUM(D117:D126)</f>
        <v>306633.04000000004</v>
      </c>
      <c r="E127" s="86">
        <f>SUM(E117:E126)</f>
        <v>121424.43000000001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655000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427843.5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9181.58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2110.52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146.25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3.27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5147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-5150.2700000000004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1085100.27</v>
      </c>
      <c r="D143" s="141">
        <f>SUM(D129:D142)</f>
        <v>0</v>
      </c>
      <c r="E143" s="141">
        <f>SUM(E129:E142)</f>
        <v>9181.58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10686245.710000001</v>
      </c>
      <c r="D144" s="86">
        <f>(D114+D127+D143)</f>
        <v>306633.04000000004</v>
      </c>
      <c r="E144" s="86">
        <f>(E114+E127+E143)</f>
        <v>836904.55999999994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13032960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9760000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9760000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655000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655000</v>
      </c>
    </row>
    <row r="158" spans="1:9">
      <c r="A158" s="22" t="s">
        <v>35</v>
      </c>
      <c r="B158" s="137">
        <f>'DOE25'!F497</f>
        <v>9105000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9105000</v>
      </c>
    </row>
    <row r="159" spans="1:9">
      <c r="A159" s="22" t="s">
        <v>36</v>
      </c>
      <c r="B159" s="137">
        <f>'DOE25'!F498</f>
        <v>2787047.25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2787047.25</v>
      </c>
    </row>
    <row r="160" spans="1:9">
      <c r="A160" s="22" t="s">
        <v>37</v>
      </c>
      <c r="B160" s="137">
        <f>'DOE25'!F499</f>
        <v>11892047.25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11892047.25</v>
      </c>
    </row>
    <row r="161" spans="1:7">
      <c r="A161" s="22" t="s">
        <v>38</v>
      </c>
      <c r="B161" s="137">
        <f>'DOE25'!F500</f>
        <v>655000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655000</v>
      </c>
    </row>
    <row r="162" spans="1:7">
      <c r="A162" s="22" t="s">
        <v>39</v>
      </c>
      <c r="B162" s="137">
        <f>'DOE25'!F501</f>
        <v>395098.5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395098.5</v>
      </c>
    </row>
    <row r="163" spans="1:7">
      <c r="A163" s="22" t="s">
        <v>246</v>
      </c>
      <c r="B163" s="137">
        <f>'DOE25'!F502</f>
        <v>1050098.5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1050098.5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HINSDALE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14708</v>
      </c>
    </row>
    <row r="5" spans="1:4">
      <c r="B5" t="s">
        <v>704</v>
      </c>
      <c r="C5" s="179">
        <f>IF('DOE25'!G664+'DOE25'!G669=0,0,ROUND('DOE25'!G671,0))</f>
        <v>17287</v>
      </c>
    </row>
    <row r="6" spans="1:4">
      <c r="B6" t="s">
        <v>62</v>
      </c>
      <c r="C6" s="179">
        <f>IF('DOE25'!H664+'DOE25'!H669=0,0,ROUND('DOE25'!H671,0))</f>
        <v>18074</v>
      </c>
    </row>
    <row r="7" spans="1:4">
      <c r="B7" t="s">
        <v>705</v>
      </c>
      <c r="C7" s="179">
        <f>IF('DOE25'!I664+'DOE25'!I669=0,0,ROUND('DOE25'!I671,0))</f>
        <v>16235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3977189</v>
      </c>
      <c r="D10" s="182">
        <f>ROUND((C10/$C$28)*100,1)</f>
        <v>36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2273697</v>
      </c>
      <c r="D11" s="182">
        <f>ROUND((C11/$C$28)*100,1)</f>
        <v>20.6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68506</v>
      </c>
      <c r="D12" s="182">
        <f>ROUND((C12/$C$28)*100,1)</f>
        <v>0.6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131568</v>
      </c>
      <c r="D13" s="182">
        <f>ROUND((C13/$C$28)*100,1)</f>
        <v>1.2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874105</v>
      </c>
      <c r="D15" s="182">
        <f t="shared" ref="D15:D27" si="0">ROUND((C15/$C$28)*100,1)</f>
        <v>7.9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148127</v>
      </c>
      <c r="D16" s="182">
        <f t="shared" si="0"/>
        <v>1.3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668323</v>
      </c>
      <c r="D17" s="182">
        <f t="shared" si="0"/>
        <v>6.1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800346</v>
      </c>
      <c r="D18" s="182">
        <f t="shared" si="0"/>
        <v>7.3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1015174</v>
      </c>
      <c r="D20" s="182">
        <f t="shared" si="0"/>
        <v>9.1999999999999993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471834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427844</v>
      </c>
      <c r="D25" s="182">
        <f t="shared" si="0"/>
        <v>3.9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176166.13</v>
      </c>
      <c r="D27" s="182">
        <f t="shared" si="0"/>
        <v>1.6</v>
      </c>
    </row>
    <row r="28" spans="1:4">
      <c r="B28" s="187" t="s">
        <v>723</v>
      </c>
      <c r="C28" s="180">
        <f>SUM(C10:C27)</f>
        <v>11032879.130000001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11032879.130000001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655000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4473646</v>
      </c>
      <c r="D35" s="182">
        <f t="shared" ref="D35:D40" si="1">ROUND((C35/$C$41)*100,1)</f>
        <v>38.1</v>
      </c>
    </row>
    <row r="36" spans="1:4">
      <c r="B36" s="185" t="s">
        <v>743</v>
      </c>
      <c r="C36" s="179">
        <f>SUM('DOE25'!F111:J111)-SUM('DOE25'!G96:G109)+('DOE25'!F173+'DOE25'!F174+'DOE25'!I173+'DOE25'!I174)-C35</f>
        <v>216723.59999999963</v>
      </c>
      <c r="D36" s="182">
        <f t="shared" si="1"/>
        <v>1.8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5231377</v>
      </c>
      <c r="D37" s="182">
        <f t="shared" si="1"/>
        <v>44.5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714128</v>
      </c>
      <c r="D38" s="182">
        <f t="shared" si="1"/>
        <v>6.1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1108217</v>
      </c>
      <c r="D39" s="182">
        <f t="shared" si="1"/>
        <v>9.4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11744091.6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7" sqref="A7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HINSDALE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>
        <v>2</v>
      </c>
      <c r="B4" s="220">
        <v>5</v>
      </c>
      <c r="C4" s="280" t="s">
        <v>913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2</v>
      </c>
      <c r="B5" s="220">
        <v>17</v>
      </c>
      <c r="C5" s="280" t="s">
        <v>914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4</v>
      </c>
      <c r="B6" s="220">
        <v>16</v>
      </c>
      <c r="C6" s="280" t="s">
        <v>912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Leclerc, Ron</cp:lastModifiedBy>
  <cp:lastPrinted>2012-10-23T14:15:51Z</cp:lastPrinted>
  <dcterms:created xsi:type="dcterms:W3CDTF">2012-10-05T14:03:23Z</dcterms:created>
  <dcterms:modified xsi:type="dcterms:W3CDTF">2012-11-21T14:44:25Z</dcterms:modified>
</cp:coreProperties>
</file>