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7" i="2" l="1"/>
  <c r="F40" i="2"/>
  <c r="D39" i="2"/>
  <c r="G654" i="1" l="1"/>
  <c r="F47" i="2" l="1"/>
  <c r="E47" i="2"/>
  <c r="D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131" i="2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7" i="10"/>
  <c r="C18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L246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09" i="2"/>
  <c r="E110" i="2"/>
  <c r="E111" i="2"/>
  <c r="C112" i="2"/>
  <c r="E112" i="2"/>
  <c r="C113" i="2"/>
  <c r="E113" i="2"/>
  <c r="D114" i="2"/>
  <c r="F114" i="2"/>
  <c r="G114" i="2"/>
  <c r="E117" i="2"/>
  <c r="E118" i="2"/>
  <c r="C119" i="2"/>
  <c r="E119" i="2"/>
  <c r="C120" i="2"/>
  <c r="E120" i="2"/>
  <c r="C121" i="2"/>
  <c r="C122" i="2"/>
  <c r="E122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J433" i="1" s="1"/>
  <c r="L428" i="1"/>
  <c r="L429" i="1"/>
  <c r="L430" i="1"/>
  <c r="L431" i="1"/>
  <c r="F432" i="1"/>
  <c r="G432" i="1"/>
  <c r="H432" i="1"/>
  <c r="I432" i="1"/>
  <c r="J432" i="1"/>
  <c r="F433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J619" i="1" s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39" i="1"/>
  <c r="H639" i="1"/>
  <c r="G640" i="1"/>
  <c r="H640" i="1"/>
  <c r="H641" i="1"/>
  <c r="G642" i="1"/>
  <c r="H642" i="1"/>
  <c r="G643" i="1"/>
  <c r="H643" i="1"/>
  <c r="H646" i="1"/>
  <c r="G648" i="1"/>
  <c r="G649" i="1"/>
  <c r="G650" i="1"/>
  <c r="G651" i="1"/>
  <c r="H651" i="1"/>
  <c r="G652" i="1"/>
  <c r="H652" i="1"/>
  <c r="G653" i="1"/>
  <c r="H653" i="1"/>
  <c r="H654" i="1"/>
  <c r="J351" i="1"/>
  <c r="F191" i="1"/>
  <c r="L255" i="1"/>
  <c r="C26" i="10"/>
  <c r="L327" i="1"/>
  <c r="H659" i="1" s="1"/>
  <c r="L350" i="1"/>
  <c r="I661" i="1"/>
  <c r="L289" i="1"/>
  <c r="A40" i="12"/>
  <c r="G8" i="2"/>
  <c r="D18" i="13"/>
  <c r="C18" i="13" s="1"/>
  <c r="D15" i="13"/>
  <c r="C15" i="13" s="1"/>
  <c r="C90" i="2"/>
  <c r="D49" i="2"/>
  <c r="G156" i="2"/>
  <c r="F49" i="2"/>
  <c r="E31" i="2"/>
  <c r="D19" i="13"/>
  <c r="C19" i="13" s="1"/>
  <c r="D14" i="13"/>
  <c r="C14" i="13" s="1"/>
  <c r="E13" i="13"/>
  <c r="C13" i="13" s="1"/>
  <c r="J651" i="1" l="1"/>
  <c r="J653" i="1"/>
  <c r="J652" i="1"/>
  <c r="G570" i="1"/>
  <c r="F256" i="1"/>
  <c r="F270" i="1" s="1"/>
  <c r="I191" i="1"/>
  <c r="K433" i="1"/>
  <c r="G133" i="2" s="1"/>
  <c r="G143" i="2" s="1"/>
  <c r="G102" i="2"/>
  <c r="D90" i="2"/>
  <c r="F61" i="2"/>
  <c r="F62" i="2" s="1"/>
  <c r="D61" i="2"/>
  <c r="D62" i="2" s="1"/>
  <c r="D31" i="2"/>
  <c r="F31" i="2"/>
  <c r="D18" i="2"/>
  <c r="L269" i="1"/>
  <c r="C19" i="10"/>
  <c r="E108" i="2"/>
  <c r="H660" i="1"/>
  <c r="D17" i="13"/>
  <c r="C17" i="13" s="1"/>
  <c r="C21" i="10"/>
  <c r="D7" i="13"/>
  <c r="C7" i="13" s="1"/>
  <c r="C15" i="10"/>
  <c r="C12" i="10"/>
  <c r="I433" i="1"/>
  <c r="G433" i="1"/>
  <c r="I337" i="1"/>
  <c r="I351" i="1" s="1"/>
  <c r="K256" i="1"/>
  <c r="K270" i="1" s="1"/>
  <c r="I256" i="1"/>
  <c r="I270" i="1" s="1"/>
  <c r="G256" i="1"/>
  <c r="G270" i="1" s="1"/>
  <c r="G160" i="2"/>
  <c r="E61" i="2"/>
  <c r="E62" i="2" s="1"/>
  <c r="C11" i="10"/>
  <c r="G31" i="13"/>
  <c r="G144" i="2"/>
  <c r="E102" i="2"/>
  <c r="F102" i="2"/>
  <c r="C102" i="2"/>
  <c r="F77" i="2"/>
  <c r="F80" i="2" s="1"/>
  <c r="G162" i="2"/>
  <c r="G157" i="2"/>
  <c r="C31" i="2"/>
  <c r="J616" i="1"/>
  <c r="D102" i="2"/>
  <c r="G61" i="2"/>
  <c r="G62" i="2" s="1"/>
  <c r="G103" i="2" s="1"/>
  <c r="A31" i="12"/>
  <c r="G621" i="1"/>
  <c r="E143" i="2"/>
  <c r="C18" i="2"/>
  <c r="E18" i="2"/>
  <c r="F18" i="2"/>
  <c r="F544" i="1"/>
  <c r="L528" i="1"/>
  <c r="L523" i="1"/>
  <c r="G163" i="2"/>
  <c r="G161" i="2"/>
  <c r="G159" i="2"/>
  <c r="G158" i="2"/>
  <c r="G155" i="2"/>
  <c r="J641" i="1"/>
  <c r="D126" i="2"/>
  <c r="D127" i="2" s="1"/>
  <c r="D144" i="2" s="1"/>
  <c r="F660" i="1"/>
  <c r="H663" i="1"/>
  <c r="H666" i="1" s="1"/>
  <c r="G660" i="1"/>
  <c r="L361" i="1"/>
  <c r="D29" i="13"/>
  <c r="C29" i="13" s="1"/>
  <c r="E121" i="2"/>
  <c r="C16" i="10"/>
  <c r="C13" i="10"/>
  <c r="E109" i="2"/>
  <c r="E114" i="2" s="1"/>
  <c r="F31" i="13"/>
  <c r="C10" i="10"/>
  <c r="J648" i="1"/>
  <c r="C123" i="2"/>
  <c r="D12" i="13"/>
  <c r="C12" i="13" s="1"/>
  <c r="E8" i="13"/>
  <c r="C8" i="13" s="1"/>
  <c r="C118" i="2"/>
  <c r="D6" i="13"/>
  <c r="C6" i="13" s="1"/>
  <c r="C117" i="2"/>
  <c r="C111" i="2"/>
  <c r="C110" i="2"/>
  <c r="L210" i="1"/>
  <c r="L256" i="1" s="1"/>
  <c r="L270" i="1" s="1"/>
  <c r="G631" i="1" s="1"/>
  <c r="J631" i="1" s="1"/>
  <c r="G33" i="13"/>
  <c r="G644" i="1"/>
  <c r="F90" i="2"/>
  <c r="F103" i="2" s="1"/>
  <c r="C77" i="2"/>
  <c r="C69" i="2"/>
  <c r="C61" i="2"/>
  <c r="C62" i="2" s="1"/>
  <c r="J618" i="1"/>
  <c r="G623" i="1"/>
  <c r="G622" i="1"/>
  <c r="E49" i="2"/>
  <c r="D50" i="2"/>
  <c r="E90" i="2"/>
  <c r="F50" i="2"/>
  <c r="A22" i="12"/>
  <c r="C80" i="2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G337" i="1"/>
  <c r="G351" i="1" s="1"/>
  <c r="C23" i="10"/>
  <c r="F168" i="1"/>
  <c r="J139" i="1"/>
  <c r="F570" i="1"/>
  <c r="H256" i="1"/>
  <c r="H270" i="1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J50" i="1"/>
  <c r="L564" i="1"/>
  <c r="G544" i="1"/>
  <c r="H544" i="1"/>
  <c r="K550" i="1"/>
  <c r="F143" i="2"/>
  <c r="F144" i="2" s="1"/>
  <c r="H192" i="1" l="1"/>
  <c r="G628" i="1" s="1"/>
  <c r="J628" i="1" s="1"/>
  <c r="D103" i="2"/>
  <c r="E103" i="2"/>
  <c r="G50" i="2"/>
  <c r="L570" i="1"/>
  <c r="L544" i="1"/>
  <c r="K551" i="1"/>
  <c r="I660" i="1"/>
  <c r="H671" i="1"/>
  <c r="C27" i="10"/>
  <c r="G634" i="1"/>
  <c r="J634" i="1" s="1"/>
  <c r="E144" i="2"/>
  <c r="C28" i="10"/>
  <c r="D27" i="10" s="1"/>
  <c r="C127" i="2"/>
  <c r="C114" i="2"/>
  <c r="F659" i="1"/>
  <c r="F663" i="1" s="1"/>
  <c r="F671" i="1" s="1"/>
  <c r="C4" i="10" s="1"/>
  <c r="H647" i="1"/>
  <c r="J647" i="1" s="1"/>
  <c r="C39" i="10"/>
  <c r="C103" i="2"/>
  <c r="C36" i="10"/>
  <c r="F192" i="1"/>
  <c r="G626" i="1" s="1"/>
  <c r="J626" i="1" s="1"/>
  <c r="J622" i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D17" i="10" l="1"/>
  <c r="D15" i="10"/>
  <c r="C30" i="10"/>
  <c r="D20" i="10"/>
  <c r="D18" i="10"/>
  <c r="D12" i="10"/>
  <c r="D21" i="10"/>
  <c r="D19" i="10"/>
  <c r="D16" i="10"/>
  <c r="D23" i="10"/>
  <c r="D24" i="10"/>
  <c r="D22" i="10"/>
  <c r="D10" i="10"/>
  <c r="D13" i="10"/>
  <c r="D26" i="10"/>
  <c r="D25" i="10"/>
  <c r="D11" i="10"/>
  <c r="C144" i="2"/>
  <c r="F666" i="1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D37" i="10"/>
  <c r="J625" i="1"/>
  <c r="H655" i="1" l="1"/>
  <c r="D28" i="10"/>
  <c r="D35" i="10"/>
  <c r="D38" i="10"/>
  <c r="D40" i="10"/>
  <c r="D36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<sst xmlns="http://schemas.openxmlformats.org/spreadsheetml/2006/main" count="3945" uniqueCount="912">
  <si>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</si>
  <si>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</si>
  <si>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</si>
  <si>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</si>
  <si>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</si>
  <si>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</si>
  <si>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</si>
  <si>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</si>
  <si>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</si>
  <si>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</si>
  <si>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</si>
  <si>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</si>
  <si>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</si>
  <si>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</si>
  <si>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</si>
  <si>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</si>
  <si>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</si>
  <si>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</si>
  <si>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</si>
  <si>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</si>
  <si>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</si>
  <si>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</si>
  <si>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</si>
  <si>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</si>
  <si>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</si>
  <si>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</si>
  <si>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</si>
  <si>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</si>
  <si>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</si>
  <si>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</si>
  <si>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</si>
  <si>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</si>
  <si>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</si>
  <si>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</si>
  <si>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</si>
  <si>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</si>
  <si>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</si>
  <si>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</si>
  <si>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</si>
  <si>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</si>
  <si>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</si>
  <si>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</si>
  <si>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</si>
  <si>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</si>
  <si>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</si>
  <si>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</si>
  <si>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</si>
  <si>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</si>
  <si>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</si>
  <si>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</si>
  <si>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</si>
  <si>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</si>
  <si>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</si>
  <si>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</si>
  <si>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</si>
  <si>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</si>
  <si>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</si>
  <si>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</si>
  <si>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</si>
  <si>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</si>
  <si>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</si>
  <si>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</si>
  <si>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</si>
  <si>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</si>
  <si>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</si>
  <si>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</si>
  <si>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</si>
  <si>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</si>
  <si>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</si>
  <si>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</si>
  <si>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</si>
  <si>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</si>
  <si>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</si>
  <si>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</si>
  <si>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</si>
  <si>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</si>
  <si>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</si>
  <si>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</si>
  <si>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</si>
  <si>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</si>
  <si>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</si>
  <si>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</si>
  <si>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</si>
  <si>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</si>
  <si>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</si>
  <si>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</si>
  <si>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</si>
  <si>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</si>
  <si>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</si>
  <si>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</si>
  <si>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</si>
  <si>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</si>
  <si>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</si>
  <si>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</si>
  <si>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</si>
  <si>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</si>
  <si>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</si>
  <si>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</si>
  <si>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</si>
  <si>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</si>
  <si>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</si>
  <si>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</si>
  <si>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</si>
  <si>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</si>
  <si>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</si>
  <si>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</si>
  <si>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</si>
  <si>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</si>
  <si>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</si>
  <si>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</si>
  <si>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</si>
  <si>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</si>
  <si>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</si>
  <si>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</si>
  <si>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</si>
  <si>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</si>
  <si>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</si>
  <si>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</si>
  <si>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</si>
  <si>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</si>
  <si>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</si>
  <si>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</si>
  <si>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</si>
  <si>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</si>
  <si>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</si>
  <si>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</si>
  <si>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</si>
  <si>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</si>
  <si>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</si>
  <si>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</si>
  <si>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</si>
  <si>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</si>
  <si>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</si>
  <si>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</si>
  <si>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</si>
  <si>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</si>
  <si>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</si>
  <si>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</si>
  <si>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</si>
  <si>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</si>
  <si>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</si>
  <si>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</si>
  <si>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</si>
  <si>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</si>
  <si>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</si>
  <si>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</si>
  <si>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</si>
  <si>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</si>
  <si>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</si>
  <si>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</si>
  <si>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</si>
  <si>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</si>
  <si>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</si>
  <si>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</si>
  <si>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</si>
  <si>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</si>
  <si>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</si>
  <si>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</si>
  <si>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</si>
  <si>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</si>
  <si>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</si>
  <si>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</si>
  <si>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</si>
  <si>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</si>
  <si>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</si>
  <si>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</si>
  <si>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</si>
  <si>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</si>
  <si>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</si>
  <si>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</si>
  <si>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</si>
  <si>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</si>
  <si>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</si>
  <si>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</si>
  <si>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</si>
  <si>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</si>
  <si>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</si>
  <si>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</si>
  <si>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</si>
  <si>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</si>
  <si>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</si>
  <si>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</si>
  <si>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</si>
  <si>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</si>
  <si>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</si>
  <si>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</si>
  <si>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</si>
  <si>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</si>
  <si>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</si>
  <si>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</si>
  <si>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</si>
  <si>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</si>
  <si>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</si>
  <si>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</si>
  <si>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</si>
  <si>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</si>
  <si>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</si>
  <si>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</si>
  <si>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</si>
  <si>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</si>
  <si>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</si>
  <si>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</si>
  <si>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</si>
  <si>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</si>
  <si>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</si>
  <si>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</si>
  <si>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</si>
  <si>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</si>
  <si>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</si>
  <si>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</si>
  <si>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</si>
  <si>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</si>
  <si>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</si>
  <si>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</si>
  <si>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</si>
  <si>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</si>
  <si>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</si>
  <si>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</si>
  <si>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</si>
  <si>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</si>
  <si>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</si>
  <si>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</si>
  <si>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</si>
  <si>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</si>
  <si>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</si>
  <si>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</si>
  <si>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</si>
  <si>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</si>
  <si>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</si>
  <si>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</si>
  <si>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</si>
  <si>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</si>
  <si>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</si>
  <si>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</si>
  <si>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</si>
  <si>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</si>
  <si>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</si>
  <si>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</si>
  <si>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</si>
  <si>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</si>
  <si>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</si>
  <si>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</si>
  <si>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</si>
  <si>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</si>
  <si>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</si>
  <si>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</si>
  <si>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</si>
  <si>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</si>
  <si>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</si>
  <si>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</si>
  <si>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</si>
  <si>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</si>
  <si>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</si>
  <si>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</si>
  <si>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</si>
  <si>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</si>
  <si>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</si>
  <si>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</si>
  <si>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</si>
  <si>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</si>
  <si>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</si>
  <si>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</si>
  <si>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</si>
  <si>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</si>
  <si>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</si>
  <si>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</si>
  <si>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</si>
  <si>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</si>
  <si>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</si>
  <si>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</si>
  <si>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</si>
  <si>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</si>
  <si>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</si>
  <si>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</si>
  <si>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</si>
  <si>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</si>
  <si>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</si>
  <si>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</si>
  <si>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</si>
  <si>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</si>
  <si>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</si>
  <si>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</si>
  <si>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</si>
  <si>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</si>
  <si>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</si>
  <si>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</si>
  <si>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</si>
  <si>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</si>
  <si>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</si>
  <si>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</si>
  <si>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</si>
  <si>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</si>
  <si>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</si>
  <si>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</si>
  <si>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</si>
  <si>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</si>
  <si>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</si>
  <si>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</si>
  <si>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</si>
  <si>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</si>
  <si>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</si>
  <si>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</si>
  <si>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</si>
  <si>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</si>
  <si>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</si>
  <si>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</si>
  <si>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</si>
  <si>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</si>
  <si>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</si>
  <si>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</si>
  <si>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</si>
  <si>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</si>
  <si>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</si>
  <si>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</si>
  <si>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</si>
  <si>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</si>
  <si>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</si>
  <si>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</si>
  <si>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</si>
  <si>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</si>
  <si>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</si>
  <si>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</si>
  <si>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</si>
  <si>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</si>
  <si>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</si>
  <si>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</si>
  <si>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</si>
  <si>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</si>
  <si>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</si>
  <si>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</si>
  <si>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</si>
  <si>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</si>
  <si>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</si>
  <si>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</si>
  <si>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</si>
  <si>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</si>
  <si>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</si>
  <si>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</si>
  <si>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</si>
  <si>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</si>
  <si>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</si>
  <si>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</si>
  <si>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</si>
  <si>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</si>
  <si>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</si>
  <si>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</si>
  <si>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</si>
  <si>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</si>
  <si>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</si>
  <si>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</si>
  <si>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</si>
  <si>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</si>
  <si>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</si>
  <si>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</si>
  <si>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</si>
  <si>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</si>
  <si>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</si>
  <si>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</si>
  <si>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</si>
  <si>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</si>
  <si>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</si>
  <si>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</si>
  <si>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</si>
  <si>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</si>
  <si>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</si>
  <si>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</si>
  <si>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</si>
  <si>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</si>
  <si>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</si>
  <si>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</si>
  <si>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</si>
  <si>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</si>
  <si>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</si>
  <si>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</si>
  <si>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</si>
  <si>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</si>
  <si>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</si>
  <si>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</si>
  <si>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</si>
  <si>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</si>
  <si>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</si>
  <si>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</si>
  <si>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</si>
  <si>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</si>
  <si>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</si>
  <si>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</si>
  <si>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</si>
  <si>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</si>
  <si>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</si>
  <si>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</si>
  <si>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</si>
  <si>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</si>
  <si>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</si>
  <si>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</si>
  <si>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</si>
  <si>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</si>
  <si>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</si>
  <si>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</si>
  <si>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</si>
  <si>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</si>
  <si>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</si>
  <si>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</si>
  <si>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</si>
  <si>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</si>
  <si>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</si>
  <si>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</si>
  <si>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</si>
  <si>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</si>
  <si>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</si>
  <si>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</si>
  <si>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</si>
  <si>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</si>
  <si>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</si>
  <si>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</si>
  <si>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</si>
  <si>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</si>
  <si>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</si>
  <si>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</si>
  <si>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</si>
  <si>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</si>
  <si>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</si>
  <si>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</si>
  <si>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</si>
  <si>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</si>
  <si>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</si>
  <si>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</si>
  <si>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</si>
  <si>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</si>
  <si>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</si>
  <si>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</si>
  <si>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</si>
  <si>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</si>
  <si>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</si>
  <si>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</si>
  <si>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</si>
  <si>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</si>
  <si>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</si>
  <si>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</si>
  <si>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</si>
  <si>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</si>
  <si>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</si>
  <si>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</si>
  <si>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</si>
  <si>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</si>
  <si>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</si>
  <si>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</si>
  <si>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</si>
  <si>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</si>
  <si>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</si>
  <si>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</si>
  <si>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</si>
  <si>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</si>
  <si>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</si>
  <si>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</si>
  <si>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</si>
  <si>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</si>
  <si>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</si>
  <si>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</si>
  <si>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</si>
  <si>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</si>
  <si>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</si>
  <si>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</si>
  <si>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</si>
  <si>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</si>
  <si>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</si>
  <si>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</si>
  <si>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</si>
  <si>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</si>
  <si>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</si>
  <si>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</si>
  <si>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</si>
  <si>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</si>
  <si>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</si>
  <si>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</si>
  <si>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</si>
  <si>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</si>
  <si>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</si>
  <si>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</si>
  <si>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</si>
  <si>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</si>
  <si>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</si>
  <si>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</si>
  <si>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</si>
  <si>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</si>
  <si>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</si>
  <si>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</si>
  <si>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</si>
  <si>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</si>
  <si>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</si>
  <si>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</si>
  <si>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</si>
  <si>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</si>
  <si>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</si>
  <si>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</si>
  <si>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</si>
  <si>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</si>
  <si>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</si>
  <si>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</si>
  <si>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</si>
  <si>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</si>
  <si>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</si>
  <si>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</si>
  <si>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</si>
  <si>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</si>
  <si>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</si>
  <si>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</si>
  <si>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</si>
  <si>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</si>
  <si>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</si>
  <si>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</si>
  <si>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</si>
  <si>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</si>
  <si>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</si>
  <si>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</si>
  <si>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</si>
  <si>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</si>
  <si>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</si>
  <si>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</si>
  <si>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</si>
  <si>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</si>
  <si>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</si>
  <si>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</si>
  <si>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</si>
  <si>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</si>
  <si>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</si>
  <si>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</si>
  <si>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</si>
  <si>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</si>
  <si>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</si>
  <si>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</si>
  <si>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</si>
  <si>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</si>
  <si>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</si>
  <si>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</si>
  <si>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</si>
  <si>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</si>
  <si>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</si>
  <si>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</si>
  <si>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</si>
  <si>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</si>
  <si>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</si>
  <si>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</si>
  <si>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</si>
  <si>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</si>
  <si>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</si>
  <si>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</si>
  <si>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</si>
  <si>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</si>
  <si>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</si>
  <si>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</si>
  <si>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</si>
  <si>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</si>
  <si>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</si>
  <si>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</si>
  <si>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</si>
  <si>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</si>
  <si>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</si>
  <si>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</si>
  <si>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</si>
  <si>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</si>
  <si>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</si>
  <si>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</si>
  <si>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</si>
  <si>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</si>
  <si>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</si>
  <si>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</si>
  <si>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</si>
  <si>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</si>
  <si>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</si>
  <si>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</si>
  <si>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</si>
  <si>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</si>
  <si>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</si>
  <si>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</si>
  <si>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</si>
  <si>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</si>
  <si>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</si>
  <si>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</si>
  <si>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</si>
  <si>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</si>
  <si>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</si>
  <si>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</si>
  <si>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</si>
  <si>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</si>
  <si>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</si>
  <si>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</si>
  <si>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</si>
  <si>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</si>
  <si>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</si>
  <si>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</si>
  <si>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</si>
  <si>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</si>
  <si>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</si>
  <si>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</si>
  <si>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</si>
  <si>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</si>
  <si>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</si>
  <si>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</si>
  <si>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</si>
  <si>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</si>
  <si>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</si>
  <si>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</si>
  <si>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</si>
  <si>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</si>
  <si>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</si>
  <si>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</si>
  <si>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</si>
  <si>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</si>
  <si>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</si>
  <si>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</si>
  <si>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</si>
  <si>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</si>
  <si>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</si>
  <si>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</si>
  <si>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</si>
  <si>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</si>
  <si>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</si>
  <si>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</si>
  <si>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</si>
  <si>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</si>
  <si>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</si>
  <si>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</si>
  <si>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</si>
  <si>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</si>
  <si>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</si>
  <si>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</si>
  <si>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</si>
  <si>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</si>
  <si>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</si>
  <si>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</si>
  <si>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</si>
  <si>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</si>
  <si>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</si>
  <si>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</si>
  <si>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</si>
  <si>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</si>
  <si>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</si>
  <si>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</si>
  <si>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</si>
  <si>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</si>
  <si>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</si>
  <si>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</si>
  <si>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</si>
  <si>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</si>
  <si>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</si>
  <si>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</si>
  <si>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</si>
  <si>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</si>
  <si>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</si>
  <si>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</si>
  <si>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</si>
  <si>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</si>
  <si>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</si>
  <si>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</si>
  <si>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</si>
  <si>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</si>
  <si>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</si>
  <si>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</si>
  <si>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</si>
  <si>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</si>
  <si>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</si>
  <si>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</si>
  <si>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</si>
  <si>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</si>
  <si>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</si>
  <si>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</si>
  <si>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</si>
  <si>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</si>
  <si>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</si>
  <si>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</si>
  <si>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</si>
  <si>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</si>
  <si>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</si>
  <si>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</si>
  <si>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</si>
  <si>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</si>
  <si>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</si>
  <si>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</si>
  <si>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</si>
  <si>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</si>
  <si>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</si>
  <si>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</si>
  <si>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</si>
  <si>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</si>
  <si>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</si>
  <si>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</si>
  <si>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</si>
  <si>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</si>
  <si>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</si>
  <si>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</si>
  <si>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</si>
  <si>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</si>
  <si>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</si>
  <si>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</si>
  <si>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</si>
  <si>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</si>
  <si>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</si>
  <si>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</si>
  <si>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</si>
  <si>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</si>
  <si>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</si>
  <si>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</si>
  <si>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</si>
  <si>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</si>
  <si>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</si>
  <si>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</si>
  <si>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</si>
  <si>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</si>
  <si>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</si>
  <si>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</si>
  <si>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</si>
  <si>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</si>
  <si>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</si>
  <si>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</si>
  <si>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</si>
  <si>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</si>
  <si>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</si>
  <si>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</si>
  <si>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</si>
  <si>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</si>
  <si>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</si>
  <si>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</si>
  <si>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</si>
  <si>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</si>
  <si>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</si>
  <si>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</si>
  <si>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</si>
  <si>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</si>
  <si>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</si>
  <si>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</si>
  <si>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</si>
  <si>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</si>
  <si>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</si>
  <si>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</si>
  <si>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</si>
  <si>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</si>
  <si>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</si>
  <si>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</si>
  <si>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</si>
  <si>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</si>
  <si>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</si>
  <si>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</si>
  <si>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</si>
  <si>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</si>
  <si>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</si>
  <si>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</si>
  <si>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</si>
  <si>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</si>
  <si>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</si>
  <si>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</si>
  <si>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</si>
  <si>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</si>
  <si>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</si>
  <si>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</si>
  <si>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</si>
  <si>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</si>
  <si>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</si>
  <si>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</si>
  <si>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</si>
  <si>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</si>
  <si>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</si>
  <si>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</si>
  <si>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</si>
  <si>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</si>
  <si>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</si>
  <si>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</si>
  <si>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</si>
  <si>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</si>
  <si>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</si>
  <si>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</si>
  <si>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</si>
  <si>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</si>
  <si>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</si>
  <si>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</si>
  <si>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</si>
  <si>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</si>
  <si>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</si>
  <si>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</si>
  <si>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</si>
  <si>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</si>
  <si>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</si>
  <si>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</si>
  <si>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</si>
  <si>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</si>
  <si>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</si>
  <si>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</si>
  <si>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</si>
  <si>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</si>
  <si>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</si>
  <si>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</si>
  <si>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</si>
  <si>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</si>
  <si>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</si>
  <si>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</si>
  <si>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</si>
  <si>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</si>
  <si>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</si>
  <si>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</si>
  <si>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</si>
  <si>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</si>
  <si>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</si>
  <si>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</si>
  <si>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</si>
  <si>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</si>
  <si>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</si>
  <si>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</si>
  <si>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</si>
  <si>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</si>
  <si>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</si>
  <si>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</si>
  <si>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</si>
  <si>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</si>
  <si>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</si>
  <si>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</si>
  <si>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</si>
  <si>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</si>
  <si>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</si>
  <si>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</si>
  <si>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</si>
  <si>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</si>
  <si>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</si>
  <si>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</si>
  <si>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</si>
  <si>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</si>
  <si>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</si>
  <si>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</si>
  <si>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</si>
  <si>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</si>
  <si>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</si>
  <si>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</si>
  <si>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</si>
  <si>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</si>
  <si>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</si>
  <si>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</si>
  <si>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</si>
  <si>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</si>
  <si>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</si>
  <si>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</si>
  <si>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</si>
  <si>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</si>
  <si>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</si>
  <si>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</si>
  <si>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</si>
  <si>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</si>
  <si>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</si>
  <si>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</si>
  <si>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</si>
  <si>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</si>
  <si>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</si>
  <si>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</si>
  <si>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</si>
  <si>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</si>
  <si>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</si>
  <si>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</si>
  <si>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</si>
  <si>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</si>
  <si>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</si>
  <si>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</si>
  <si>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</si>
  <si>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</si>
  <si>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</si>
  <si>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</si>
  <si>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</si>
  <si>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</si>
  <si>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</si>
  <si>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</si>
  <si>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</si>
  <si>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</si>
  <si>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</si>
  <si>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</si>
  <si>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</si>
  <si>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</si>
  <si>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</si>
  <si>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</si>
  <si>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</si>
  <si>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</si>
  <si>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</si>
  <si>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</si>
  <si>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</si>
  <si>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</si>
  <si>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</si>
  <si>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</si>
  <si>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</si>
  <si>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</si>
  <si>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</si>
  <si>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</si>
  <si>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</si>
  <si>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</si>
  <si>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</si>
  <si>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</si>
  <si>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</si>
  <si>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</si>
  <si>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</si>
  <si>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</si>
  <si>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</si>
  <si>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</si>
  <si>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</si>
  <si>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</si>
  <si>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</si>
  <si>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</si>
  <si>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</si>
  <si>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</si>
  <si>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</si>
  <si>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</si>
  <si>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</si>
  <si>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</si>
  <si>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</si>
  <si>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</si>
  <si>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</si>
  <si>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HOLDERNESS SCHOOL DISTRICT</t>
  </si>
  <si>
    <t>07/07</t>
  </si>
  <si>
    <t>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</si>
</sst>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257</v>
      </c>
      <c r="C2" s="21">
        <v>257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226773.07</v>
      </c>
      <c r="G9" s="18">
        <v>3352.76</v>
      </c>
      <c r="H9" s="18">
        <v>-3109.15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213362.47999999998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16103.39</v>
      </c>
      <c r="G13" s="18">
        <v>-3352.76</v>
      </c>
      <c r="H13" s="18">
        <v>3109.15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149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243025.46000000002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213362.47999999998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10944.94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10944.94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>
        <v>572.5</v>
      </c>
      <c r="H36" s="18">
        <v>12634.58</v>
      </c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-572.5</v>
      </c>
      <c r="H47" s="18">
        <v>-12634.58</v>
      </c>
      <c r="I47" s="18"/>
      <c r="J47" s="13">
        <f>SUM(I458)</f>
        <v>213362.47999999998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4">
        <v>196806.53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35273.99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232080.52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213362.47999999998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243025.46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213362.47999999998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2948031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2948031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23466.48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23466.48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133.55000000000001</v>
      </c>
      <c r="G95" s="18"/>
      <c r="H95" s="18"/>
      <c r="I95" s="18"/>
      <c r="J95" s="18">
        <v>136.62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42077.9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100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21866.240000000002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17922.89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40022.68</v>
      </c>
      <c r="G110" s="41">
        <f>SUM(G95:G109)</f>
        <v>42077.9</v>
      </c>
      <c r="H110" s="41">
        <f>SUM(H95:H109)</f>
        <v>0</v>
      </c>
      <c r="I110" s="41">
        <f>SUM(I95:I109)</f>
        <v>0</v>
      </c>
      <c r="J110" s="41">
        <f>SUM(J95:J109)</f>
        <v>136.62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3011520.16</v>
      </c>
      <c r="G111" s="41">
        <f>G59+G110</f>
        <v>42077.9</v>
      </c>
      <c r="H111" s="41">
        <f>H59+H78+H93+H110</f>
        <v>0</v>
      </c>
      <c r="I111" s="41">
        <f>I59+I110</f>
        <v>0</v>
      </c>
      <c r="J111" s="41">
        <f>J59+J110</f>
        <v>136.62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1059806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1059806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75159.06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1037.94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75159.06</v>
      </c>
      <c r="G135" s="41">
        <f>SUM(G122:G134)</f>
        <v>1037.94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1134965.06</v>
      </c>
      <c r="G139" s="41">
        <f>G120+SUM(G135:G136)</f>
        <v>1037.94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30594.65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17875.36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34450.559999999998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13284.25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34450.559999999998</v>
      </c>
      <c r="G161" s="41">
        <f>SUM(G149:G160)</f>
        <v>17875.36</v>
      </c>
      <c r="H161" s="41">
        <f>SUM(H149:H160)</f>
        <v>43878.9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502.21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34952.769999999997</v>
      </c>
      <c r="G168" s="41">
        <f>G146+G161+SUM(G162:G167)</f>
        <v>17875.36</v>
      </c>
      <c r="H168" s="41">
        <f>H146+H161+SUM(H162:H167)</f>
        <v>43878.9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76674.320000000007</v>
      </c>
      <c r="H178" s="18"/>
      <c r="I178" s="18"/>
      <c r="J178" s="18">
        <v>50000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76674.320000000007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76674.320000000007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4181437.99</v>
      </c>
      <c r="G192" s="47">
        <f>G111+G139+G168+G191</f>
        <v>137665.52000000002</v>
      </c>
      <c r="H192" s="47">
        <f>H111+H139+H168+H191</f>
        <v>43878.9</v>
      </c>
      <c r="I192" s="47">
        <f>I111+I139+I168+I191</f>
        <v>0</v>
      </c>
      <c r="J192" s="47">
        <f>J111+J139+J191</f>
        <v>50136.62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1262655.04</v>
      </c>
      <c r="G196" s="18">
        <v>573501.06999999995</v>
      </c>
      <c r="H196" s="18">
        <v>10998.22</v>
      </c>
      <c r="I196" s="18">
        <v>44033.18</v>
      </c>
      <c r="J196" s="18">
        <v>2727.86</v>
      </c>
      <c r="K196" s="18">
        <v>536</v>
      </c>
      <c r="L196" s="19">
        <f>SUM(F196:K196)</f>
        <v>1894451.3699999999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296890.23999999999</v>
      </c>
      <c r="G197" s="18">
        <v>162502.22</v>
      </c>
      <c r="H197" s="18">
        <v>40180.43</v>
      </c>
      <c r="I197" s="18">
        <v>652.15</v>
      </c>
      <c r="J197" s="18">
        <v>0</v>
      </c>
      <c r="K197" s="18">
        <v>0</v>
      </c>
      <c r="L197" s="19">
        <f>SUM(F197:K197)</f>
        <v>500225.04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37423.71</v>
      </c>
      <c r="G199" s="18">
        <v>6114.67</v>
      </c>
      <c r="H199" s="18">
        <v>4000</v>
      </c>
      <c r="I199" s="18">
        <v>868.92</v>
      </c>
      <c r="J199" s="18">
        <v>647.34</v>
      </c>
      <c r="K199" s="18">
        <v>165</v>
      </c>
      <c r="L199" s="19">
        <f>SUM(F199:K199)</f>
        <v>49219.639999999992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124619.6</v>
      </c>
      <c r="G201" s="18">
        <v>58391.76</v>
      </c>
      <c r="H201" s="18">
        <v>87203.56</v>
      </c>
      <c r="I201" s="18">
        <v>2352.63</v>
      </c>
      <c r="J201" s="18"/>
      <c r="K201" s="18"/>
      <c r="L201" s="19">
        <f t="shared" ref="L201:L207" si="0">SUM(F201:K201)</f>
        <v>272567.55000000005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66753</v>
      </c>
      <c r="G202" s="18">
        <v>67252.81</v>
      </c>
      <c r="H202" s="18">
        <v>99.99</v>
      </c>
      <c r="I202" s="18">
        <v>3604.45</v>
      </c>
      <c r="J202" s="18"/>
      <c r="K202" s="18"/>
      <c r="L202" s="19">
        <f t="shared" si="0"/>
        <v>137710.25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1610</v>
      </c>
      <c r="G203" s="18">
        <v>173.85</v>
      </c>
      <c r="H203" s="18">
        <v>203812.19</v>
      </c>
      <c r="I203" s="18">
        <v>834.98</v>
      </c>
      <c r="J203" s="18"/>
      <c r="K203" s="18">
        <v>3229.07</v>
      </c>
      <c r="L203" s="19">
        <f t="shared" si="0"/>
        <v>209660.09000000003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127050.4</v>
      </c>
      <c r="G204" s="18">
        <v>68922.48</v>
      </c>
      <c r="H204" s="18">
        <v>10563.97</v>
      </c>
      <c r="I204" s="18">
        <v>1070.78</v>
      </c>
      <c r="J204" s="18"/>
      <c r="K204" s="18">
        <v>468.41</v>
      </c>
      <c r="L204" s="19">
        <f t="shared" si="0"/>
        <v>208076.04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>
        <v>283.5</v>
      </c>
      <c r="I205" s="18"/>
      <c r="J205" s="18"/>
      <c r="K205" s="18"/>
      <c r="L205" s="19">
        <f t="shared" si="0"/>
        <v>283.5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102318.85</v>
      </c>
      <c r="G206" s="18">
        <v>58589.81</v>
      </c>
      <c r="H206" s="18">
        <v>71863.63</v>
      </c>
      <c r="I206" s="18">
        <v>85733.36</v>
      </c>
      <c r="J206" s="18">
        <v>9351.2900000000009</v>
      </c>
      <c r="K206" s="18"/>
      <c r="L206" s="19">
        <f t="shared" si="0"/>
        <v>327856.94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156277.69</v>
      </c>
      <c r="I207" s="18"/>
      <c r="J207" s="18"/>
      <c r="K207" s="18"/>
      <c r="L207" s="19">
        <f t="shared" si="0"/>
        <v>156277.69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2019320.84</v>
      </c>
      <c r="G210" s="41">
        <f t="shared" si="1"/>
        <v>995448.66999999993</v>
      </c>
      <c r="H210" s="41">
        <f t="shared" si="1"/>
        <v>585283.17999999993</v>
      </c>
      <c r="I210" s="41">
        <f t="shared" si="1"/>
        <v>139150.45000000001</v>
      </c>
      <c r="J210" s="41">
        <f t="shared" si="1"/>
        <v>12726.490000000002</v>
      </c>
      <c r="K210" s="41">
        <f t="shared" si="1"/>
        <v>4398.4800000000005</v>
      </c>
      <c r="L210" s="41">
        <f t="shared" si="1"/>
        <v>3756328.1099999994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2019320.84</v>
      </c>
      <c r="G256" s="41">
        <f t="shared" si="8"/>
        <v>995448.66999999993</v>
      </c>
      <c r="H256" s="41">
        <f t="shared" si="8"/>
        <v>585283.17999999993</v>
      </c>
      <c r="I256" s="41">
        <f t="shared" si="8"/>
        <v>139150.45000000001</v>
      </c>
      <c r="J256" s="41">
        <f t="shared" si="8"/>
        <v>12726.490000000002</v>
      </c>
      <c r="K256" s="41">
        <f t="shared" si="8"/>
        <v>4398.4800000000005</v>
      </c>
      <c r="L256" s="41">
        <f t="shared" si="8"/>
        <v>3756328.1099999994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237107.9</v>
      </c>
      <c r="L259" s="19">
        <f>SUM(F259:K259)</f>
        <v>237107.9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60286.66</v>
      </c>
      <c r="L260" s="19">
        <f>SUM(F260:K260)</f>
        <v>60286.66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76674.320000000007</v>
      </c>
      <c r="L262" s="19">
        <f>SUM(F262:K262)</f>
        <v>76674.320000000007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424068.88</v>
      </c>
      <c r="L269" s="41">
        <f t="shared" si="9"/>
        <v>424068.88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2019320.84</v>
      </c>
      <c r="G270" s="42">
        <f t="shared" si="11"/>
        <v>995448.66999999993</v>
      </c>
      <c r="H270" s="42">
        <f t="shared" si="11"/>
        <v>585283.17999999993</v>
      </c>
      <c r="I270" s="42">
        <f t="shared" si="11"/>
        <v>139150.45000000001</v>
      </c>
      <c r="J270" s="42">
        <f t="shared" si="11"/>
        <v>12726.490000000002</v>
      </c>
      <c r="K270" s="42">
        <f t="shared" si="11"/>
        <v>428467.36</v>
      </c>
      <c r="L270" s="42">
        <f t="shared" si="11"/>
        <v>4180396.9899999993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23462.55</v>
      </c>
      <c r="G275" s="18"/>
      <c r="H275" s="18"/>
      <c r="I275" s="18">
        <v>1001.9</v>
      </c>
      <c r="J275" s="18">
        <v>5759.37</v>
      </c>
      <c r="K275" s="18"/>
      <c r="L275" s="19">
        <f>SUM(F275:K275)</f>
        <v>30223.82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6266.14</v>
      </c>
      <c r="G276" s="18"/>
      <c r="H276" s="18"/>
      <c r="I276" s="18">
        <v>72</v>
      </c>
      <c r="J276" s="18"/>
      <c r="K276" s="18"/>
      <c r="L276" s="19">
        <f>SUM(F276:K276)</f>
        <v>6338.14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>
        <v>769.2</v>
      </c>
      <c r="J278" s="18"/>
      <c r="K278" s="18"/>
      <c r="L278" s="19">
        <f>SUM(F278:K278)</f>
        <v>769.2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46.74</v>
      </c>
      <c r="I281" s="18"/>
      <c r="J281" s="18"/>
      <c r="K281" s="18"/>
      <c r="L281" s="19">
        <f t="shared" si="12"/>
        <v>46.74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325.57</v>
      </c>
      <c r="L284" s="19">
        <f t="shared" si="12"/>
        <v>325.57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5880.92</v>
      </c>
      <c r="I285" s="18"/>
      <c r="J285" s="18"/>
      <c r="K285" s="18"/>
      <c r="L285" s="19">
        <f t="shared" si="12"/>
        <v>5880.92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>
        <v>294.51</v>
      </c>
      <c r="L287" s="19">
        <f>SUM(F287:K287)</f>
        <v>294.51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29728.69</v>
      </c>
      <c r="G289" s="42">
        <f t="shared" si="13"/>
        <v>0</v>
      </c>
      <c r="H289" s="42">
        <f t="shared" si="13"/>
        <v>5927.66</v>
      </c>
      <c r="I289" s="42">
        <f t="shared" si="13"/>
        <v>1843.1000000000001</v>
      </c>
      <c r="J289" s="42">
        <f t="shared" si="13"/>
        <v>5759.37</v>
      </c>
      <c r="K289" s="42">
        <f t="shared" si="13"/>
        <v>620.07999999999993</v>
      </c>
      <c r="L289" s="41">
        <f t="shared" si="13"/>
        <v>43878.899999999994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29728.69</v>
      </c>
      <c r="G337" s="41">
        <f t="shared" si="20"/>
        <v>0</v>
      </c>
      <c r="H337" s="41">
        <f t="shared" si="20"/>
        <v>5927.66</v>
      </c>
      <c r="I337" s="41">
        <f t="shared" si="20"/>
        <v>1843.1000000000001</v>
      </c>
      <c r="J337" s="41">
        <f t="shared" si="20"/>
        <v>5759.37</v>
      </c>
      <c r="K337" s="41">
        <f t="shared" si="20"/>
        <v>620.07999999999993</v>
      </c>
      <c r="L337" s="41">
        <f t="shared" si="20"/>
        <v>43878.899999999994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29728.69</v>
      </c>
      <c r="G351" s="41">
        <f>G337</f>
        <v>0</v>
      </c>
      <c r="H351" s="41">
        <f>H337</f>
        <v>5927.66</v>
      </c>
      <c r="I351" s="41">
        <f>I337</f>
        <v>1843.1000000000001</v>
      </c>
      <c r="J351" s="41">
        <f>J337</f>
        <v>5759.37</v>
      </c>
      <c r="K351" s="47">
        <f>K337+K350</f>
        <v>620.07999999999993</v>
      </c>
      <c r="L351" s="41">
        <f>L337+L350</f>
        <v>43878.899999999994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55542.79</v>
      </c>
      <c r="G357" s="18">
        <v>28095.87</v>
      </c>
      <c r="H357" s="18">
        <v>173.5</v>
      </c>
      <c r="I357" s="18">
        <v>49991.72</v>
      </c>
      <c r="J357" s="18">
        <v>3630.47</v>
      </c>
      <c r="K357" s="18">
        <v>231.17</v>
      </c>
      <c r="L357" s="13">
        <f>SUM(F357:K357)</f>
        <v>137665.52000000002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55542.79</v>
      </c>
      <c r="G361" s="47">
        <f t="shared" si="22"/>
        <v>28095.87</v>
      </c>
      <c r="H361" s="47">
        <f t="shared" si="22"/>
        <v>173.5</v>
      </c>
      <c r="I361" s="47">
        <f t="shared" si="22"/>
        <v>49991.72</v>
      </c>
      <c r="J361" s="47">
        <f t="shared" si="22"/>
        <v>3630.47</v>
      </c>
      <c r="K361" s="47">
        <f t="shared" si="22"/>
        <v>231.17</v>
      </c>
      <c r="L361" s="47">
        <f t="shared" si="22"/>
        <v>137665.52000000002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40630.46</v>
      </c>
      <c r="G366" s="18"/>
      <c r="H366" s="18"/>
      <c r="I366" s="56">
        <f>SUM(F366:H366)</f>
        <v>40630.46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9361.26</v>
      </c>
      <c r="G367" s="63"/>
      <c r="H367" s="63"/>
      <c r="I367" s="56">
        <f>SUM(F367:H367)</f>
        <v>9361.26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49991.72</v>
      </c>
      <c r="G368" s="47">
        <f>SUM(G366:G367)</f>
        <v>0</v>
      </c>
      <c r="H368" s="47">
        <f>SUM(H366:H367)</f>
        <v>0</v>
      </c>
      <c r="I368" s="47">
        <f>SUM(I366:I367)</f>
        <v>49991.72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66.25</v>
      </c>
      <c r="I388" s="18"/>
      <c r="J388" s="24" t="s">
        <v>289</v>
      </c>
      <c r="K388" s="24" t="s">
        <v>289</v>
      </c>
      <c r="L388" s="56">
        <f t="shared" si="25"/>
        <v>66.25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66.25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66.25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40000</v>
      </c>
      <c r="H396" s="18">
        <v>39.01</v>
      </c>
      <c r="I396" s="18"/>
      <c r="J396" s="24" t="s">
        <v>289</v>
      </c>
      <c r="K396" s="24" t="s">
        <v>289</v>
      </c>
      <c r="L396" s="56">
        <f t="shared" si="26"/>
        <v>40039.01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10000</v>
      </c>
      <c r="H398" s="18">
        <v>31.36</v>
      </c>
      <c r="I398" s="18"/>
      <c r="J398" s="24" t="s">
        <v>289</v>
      </c>
      <c r="K398" s="24" t="s">
        <v>289</v>
      </c>
      <c r="L398" s="56">
        <f t="shared" si="26"/>
        <v>10031.36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70.37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50070.37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136.62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50136.62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113120.54</v>
      </c>
      <c r="G439" s="18">
        <v>100241.94</v>
      </c>
      <c r="H439" s="18"/>
      <c r="I439" s="56">
        <f t="shared" si="33"/>
        <v>213362.47999999998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113120.54</v>
      </c>
      <c r="G445" s="13">
        <f>SUM(G438:G444)</f>
        <v>100241.94</v>
      </c>
      <c r="H445" s="13">
        <f>SUM(H438:H444)</f>
        <v>0</v>
      </c>
      <c r="I445" s="13">
        <f>SUM(I438:I444)</f>
        <v>213362.47999999998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113120.54</v>
      </c>
      <c r="G458" s="18">
        <v>100241.94</v>
      </c>
      <c r="H458" s="18"/>
      <c r="I458" s="56">
        <f t="shared" si="34"/>
        <v>213362.47999999998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113120.54</v>
      </c>
      <c r="G459" s="83">
        <f>SUM(G453:G458)</f>
        <v>100241.94</v>
      </c>
      <c r="H459" s="83">
        <f>SUM(H453:H458)</f>
        <v>0</v>
      </c>
      <c r="I459" s="83">
        <f>SUM(I453:I458)</f>
        <v>213362.47999999998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113120.54</v>
      </c>
      <c r="G460" s="42">
        <f>G451+G459</f>
        <v>100241.94</v>
      </c>
      <c r="H460" s="42">
        <f>H451+H459</f>
        <v>0</v>
      </c>
      <c r="I460" s="42">
        <f>I451+I459</f>
        <v>213362.47999999998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231039.52</v>
      </c>
      <c r="G464" s="18"/>
      <c r="H464" s="18"/>
      <c r="I464" s="18"/>
      <c r="J464" s="18">
        <v>163225.85999999999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4181437.99</v>
      </c>
      <c r="G467" s="18">
        <v>137665.51999999999</v>
      </c>
      <c r="H467" s="18">
        <v>43878.9</v>
      </c>
      <c r="I467" s="18"/>
      <c r="J467" s="18">
        <v>50136.62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4181437.99</v>
      </c>
      <c r="G469" s="53">
        <f>SUM(G467:G468)</f>
        <v>137665.51999999999</v>
      </c>
      <c r="H469" s="53">
        <f>SUM(H467:H468)</f>
        <v>43878.9</v>
      </c>
      <c r="I469" s="53">
        <f>SUM(I467:I468)</f>
        <v>0</v>
      </c>
      <c r="J469" s="53">
        <f>SUM(J467:J468)</f>
        <v>50136.62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4180396.99</v>
      </c>
      <c r="G471" s="18">
        <v>137665.51999999999</v>
      </c>
      <c r="H471" s="18">
        <v>43878.9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4180396.99</v>
      </c>
      <c r="G473" s="53">
        <f>SUM(G471:G472)</f>
        <v>137665.51999999999</v>
      </c>
      <c r="H473" s="53">
        <f>SUM(H471:H472)</f>
        <v>43878.9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232080.51999999955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213362.47999999998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2371079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1422647</v>
      </c>
      <c r="G494" s="18"/>
      <c r="H494" s="18"/>
      <c r="I494" s="18"/>
      <c r="J494" s="18"/>
      <c r="K494" s="53">
        <f>SUM(F494:J494)</f>
        <v>1422647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237107.9</v>
      </c>
      <c r="G496" s="18"/>
      <c r="H496" s="18"/>
      <c r="I496" s="18"/>
      <c r="J496" s="18"/>
      <c r="K496" s="53">
        <f t="shared" si="35"/>
        <v>237107.9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1185539.1000000001</v>
      </c>
      <c r="G497" s="205"/>
      <c r="H497" s="205"/>
      <c r="I497" s="205"/>
      <c r="J497" s="205"/>
      <c r="K497" s="206">
        <f t="shared" si="35"/>
        <v>1185539.1000000001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166449.74</v>
      </c>
      <c r="G498" s="18"/>
      <c r="H498" s="18"/>
      <c r="I498" s="18"/>
      <c r="J498" s="18"/>
      <c r="K498" s="53">
        <f t="shared" si="35"/>
        <v>166449.74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1351988.84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1351988.84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237107.9</v>
      </c>
      <c r="G500" s="205"/>
      <c r="H500" s="205"/>
      <c r="I500" s="205"/>
      <c r="J500" s="205"/>
      <c r="K500" s="206">
        <f t="shared" si="35"/>
        <v>237107.9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50859.64</v>
      </c>
      <c r="G501" s="18"/>
      <c r="H501" s="18"/>
      <c r="I501" s="18"/>
      <c r="J501" s="18"/>
      <c r="K501" s="53">
        <f t="shared" si="35"/>
        <v>50859.64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287967.53999999998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287967.53999999998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303156.38</v>
      </c>
      <c r="G520" s="18">
        <v>162502.22</v>
      </c>
      <c r="H520" s="18">
        <v>40180.43</v>
      </c>
      <c r="I520" s="18">
        <v>724.15</v>
      </c>
      <c r="J520" s="18"/>
      <c r="K520" s="18"/>
      <c r="L520" s="88">
        <f>SUM(F520:K520)</f>
        <v>506563.18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303156.38</v>
      </c>
      <c r="G523" s="108">
        <f t="shared" ref="G523:L523" si="36">SUM(G520:G522)</f>
        <v>162502.22</v>
      </c>
      <c r="H523" s="108">
        <f t="shared" si="36"/>
        <v>40180.43</v>
      </c>
      <c r="I523" s="108">
        <f t="shared" si="36"/>
        <v>724.15</v>
      </c>
      <c r="J523" s="108">
        <f t="shared" si="36"/>
        <v>0</v>
      </c>
      <c r="K523" s="108">
        <f t="shared" si="36"/>
        <v>0</v>
      </c>
      <c r="L523" s="89">
        <f t="shared" si="36"/>
        <v>506563.18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51765.2</v>
      </c>
      <c r="G525" s="18">
        <v>28550.240000000002</v>
      </c>
      <c r="H525" s="18">
        <v>85555.1</v>
      </c>
      <c r="I525" s="18">
        <v>895.09</v>
      </c>
      <c r="J525" s="18">
        <v>200.5</v>
      </c>
      <c r="K525" s="18"/>
      <c r="L525" s="88">
        <f>SUM(F525:K525)</f>
        <v>166966.13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51765.2</v>
      </c>
      <c r="G528" s="89">
        <f t="shared" ref="G528:L528" si="37">SUM(G525:G527)</f>
        <v>28550.240000000002</v>
      </c>
      <c r="H528" s="89">
        <f t="shared" si="37"/>
        <v>85555.1</v>
      </c>
      <c r="I528" s="89">
        <f t="shared" si="37"/>
        <v>895.09</v>
      </c>
      <c r="J528" s="89">
        <f t="shared" si="37"/>
        <v>200.5</v>
      </c>
      <c r="K528" s="89">
        <f t="shared" si="37"/>
        <v>0</v>
      </c>
      <c r="L528" s="89">
        <f t="shared" si="37"/>
        <v>166966.13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16205.86</v>
      </c>
      <c r="G530" s="18">
        <v>6012.75</v>
      </c>
      <c r="H530" s="18">
        <v>281.68</v>
      </c>
      <c r="I530" s="18"/>
      <c r="J530" s="18"/>
      <c r="K530" s="18"/>
      <c r="L530" s="88">
        <f>SUM(F530:K530)</f>
        <v>22500.29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16205.86</v>
      </c>
      <c r="G533" s="89">
        <f t="shared" ref="G533:L533" si="38">SUM(G530:G532)</f>
        <v>6012.75</v>
      </c>
      <c r="H533" s="89">
        <f t="shared" si="38"/>
        <v>281.68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22500.29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12421.98</v>
      </c>
      <c r="I540" s="18"/>
      <c r="J540" s="18"/>
      <c r="K540" s="18"/>
      <c r="L540" s="88">
        <f>SUM(F540:K540)</f>
        <v>12421.98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12421.98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12421.98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371127.44</v>
      </c>
      <c r="G544" s="89">
        <f t="shared" ref="G544:L544" si="41">G523+G528+G533+G538+G543</f>
        <v>197065.21</v>
      </c>
      <c r="H544" s="89">
        <f t="shared" si="41"/>
        <v>138439.19</v>
      </c>
      <c r="I544" s="89">
        <f t="shared" si="41"/>
        <v>1619.24</v>
      </c>
      <c r="J544" s="89">
        <f t="shared" si="41"/>
        <v>200.5</v>
      </c>
      <c r="K544" s="89">
        <f t="shared" si="41"/>
        <v>0</v>
      </c>
      <c r="L544" s="89">
        <f t="shared" si="41"/>
        <v>708451.58000000007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506563.18</v>
      </c>
      <c r="G548" s="87">
        <f>L525</f>
        <v>166966.13</v>
      </c>
      <c r="H548" s="87">
        <f>L530</f>
        <v>22500.29</v>
      </c>
      <c r="I548" s="87">
        <f>L535</f>
        <v>0</v>
      </c>
      <c r="J548" s="87">
        <f>L540</f>
        <v>12421.98</v>
      </c>
      <c r="K548" s="87">
        <f>SUM(F548:J548)</f>
        <v>708451.58000000007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506563.18</v>
      </c>
      <c r="G551" s="89">
        <f t="shared" si="42"/>
        <v>166966.13</v>
      </c>
      <c r="H551" s="89">
        <f t="shared" si="42"/>
        <v>22500.29</v>
      </c>
      <c r="I551" s="89">
        <f t="shared" si="42"/>
        <v>0</v>
      </c>
      <c r="J551" s="89">
        <f t="shared" si="42"/>
        <v>12421.98</v>
      </c>
      <c r="K551" s="89">
        <f t="shared" si="42"/>
        <v>708451.58000000007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>
        <v>15755</v>
      </c>
      <c r="I566" s="18">
        <v>240</v>
      </c>
      <c r="J566" s="18"/>
      <c r="K566" s="18"/>
      <c r="L566" s="88">
        <f>SUM(F566:K566)</f>
        <v>15995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15755</v>
      </c>
      <c r="I569" s="194">
        <f t="shared" si="45"/>
        <v>240</v>
      </c>
      <c r="J569" s="194">
        <f t="shared" si="45"/>
        <v>0</v>
      </c>
      <c r="K569" s="194">
        <f t="shared" si="45"/>
        <v>0</v>
      </c>
      <c r="L569" s="194">
        <f t="shared" si="45"/>
        <v>15995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15755</v>
      </c>
      <c r="I570" s="89">
        <f t="shared" si="46"/>
        <v>240</v>
      </c>
      <c r="J570" s="89">
        <f t="shared" si="46"/>
        <v>0</v>
      </c>
      <c r="K570" s="89">
        <f t="shared" si="46"/>
        <v>0</v>
      </c>
      <c r="L570" s="89">
        <f t="shared" si="46"/>
        <v>15995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13461.48</v>
      </c>
      <c r="G578" s="18"/>
      <c r="H578" s="18"/>
      <c r="I578" s="87">
        <f t="shared" si="47"/>
        <v>13461.48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7290.69</v>
      </c>
      <c r="G581" s="18"/>
      <c r="H581" s="18"/>
      <c r="I581" s="87">
        <f t="shared" si="47"/>
        <v>7290.69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124863.13</v>
      </c>
      <c r="I590" s="18"/>
      <c r="J590" s="18"/>
      <c r="K590" s="104">
        <f t="shared" ref="K590:K596" si="48">SUM(H590:J590)</f>
        <v>124863.13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12421.98</v>
      </c>
      <c r="I591" s="18"/>
      <c r="J591" s="18"/>
      <c r="K591" s="104">
        <f t="shared" si="48"/>
        <v>12421.98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5945</v>
      </c>
      <c r="I593" s="18"/>
      <c r="J593" s="18"/>
      <c r="K593" s="104">
        <f t="shared" si="48"/>
        <v>5945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13047.58</v>
      </c>
      <c r="I594" s="18"/>
      <c r="J594" s="18"/>
      <c r="K594" s="104">
        <f t="shared" si="48"/>
        <v>13047.58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156277.69</v>
      </c>
      <c r="I597" s="108">
        <f>SUM(I590:I596)</f>
        <v>0</v>
      </c>
      <c r="J597" s="108">
        <f>SUM(J590:J596)</f>
        <v>0</v>
      </c>
      <c r="K597" s="108">
        <f>SUM(K590:K596)</f>
        <v>156277.69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18485.86</v>
      </c>
      <c r="I603" s="18"/>
      <c r="J603" s="18"/>
      <c r="K603" s="104">
        <f>SUM(H603:J603)</f>
        <v>18485.86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18485.86</v>
      </c>
      <c r="I604" s="108">
        <f>SUM(I601:I603)</f>
        <v>0</v>
      </c>
      <c r="J604" s="108">
        <f>SUM(J601:J603)</f>
        <v>0</v>
      </c>
      <c r="K604" s="108">
        <f>SUM(K601:K603)</f>
        <v>18485.86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243025.46000000002</v>
      </c>
      <c r="H616" s="109">
        <f>SUM(F51)</f>
        <v>243025.46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213362.47999999998</v>
      </c>
      <c r="H620" s="109">
        <f>SUM(J51)</f>
        <v>213362.47999999998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232080.52</v>
      </c>
      <c r="H621" s="109">
        <f>F475</f>
        <v>232080.51999999955</v>
      </c>
      <c r="I621" s="121" t="s">
        <v>101</v>
      </c>
      <c r="J621" s="109">
        <f t="shared" ref="J621:J654" si="50">G621-H621</f>
        <v>4.3655745685100555E-10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213362.47999999998</v>
      </c>
      <c r="H625" s="109">
        <f>J475</f>
        <v>213362.47999999998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4181437.99</v>
      </c>
      <c r="H626" s="104">
        <f>SUM(F467)</f>
        <v>4181437.99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137665.52000000002</v>
      </c>
      <c r="H627" s="104">
        <f>SUM(G467)</f>
        <v>137665.51999999999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43878.9</v>
      </c>
      <c r="H628" s="104">
        <f>SUM(H467)</f>
        <v>43878.9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50136.62</v>
      </c>
      <c r="H630" s="104">
        <f>SUM(J467)</f>
        <v>50136.62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4180396.9899999993</v>
      </c>
      <c r="H631" s="104">
        <f>SUM(F471)</f>
        <v>4180396.99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43878.899999999994</v>
      </c>
      <c r="H632" s="104">
        <f>SUM(H471)</f>
        <v>43878.9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49991.72</v>
      </c>
      <c r="H633" s="104">
        <f>I368</f>
        <v>49991.72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137665.52000000002</v>
      </c>
      <c r="H634" s="104">
        <f>SUM(G471)</f>
        <v>137665.51999999999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50136.62</v>
      </c>
      <c r="H636" s="164">
        <f>SUM(J467)</f>
        <v>50136.62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113120.54</v>
      </c>
      <c r="H638" s="104">
        <f>SUM(F460)</f>
        <v>113120.54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100241.94</v>
      </c>
      <c r="H639" s="104">
        <f>SUM(G460)</f>
        <v>100241.94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213362.47999999998</v>
      </c>
      <c r="H641" s="104">
        <f>SUM(I460)</f>
        <v>213362.47999999998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136.62</v>
      </c>
      <c r="H643" s="104">
        <f>H407</f>
        <v>136.62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50136.62</v>
      </c>
      <c r="H645" s="104">
        <f>L407</f>
        <v>50136.62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156277.69</v>
      </c>
      <c r="H646" s="104">
        <f>L207+L225+L243</f>
        <v>156277.69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18485.86</v>
      </c>
      <c r="H647" s="104">
        <f>(J256+J337)-(J254+J335)</f>
        <v>18485.86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156277.69</v>
      </c>
      <c r="H648" s="104">
        <f>H597</f>
        <v>156277.69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76674.320000000007</v>
      </c>
      <c r="H651" s="104">
        <f>K262+K344</f>
        <v>76674.320000000007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3937872.5299999993</v>
      </c>
      <c r="G659" s="19">
        <f>(L228+L308+L358)</f>
        <v>0</v>
      </c>
      <c r="H659" s="19">
        <f>(L246+L327+L359)</f>
        <v>0</v>
      </c>
      <c r="I659" s="19">
        <f>SUM(F659:H659)</f>
        <v>3937872.5299999993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42077.9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42077.9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156277.69</v>
      </c>
      <c r="G661" s="19">
        <f>(L225+L305)-(J225+J305)</f>
        <v>0</v>
      </c>
      <c r="H661" s="19">
        <f>(L243+L324)-(J243+J324)</f>
        <v>0</v>
      </c>
      <c r="I661" s="19">
        <f>SUM(F661:H661)</f>
        <v>156277.69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39238.03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39238.03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3700278.9099999992</v>
      </c>
      <c r="G663" s="19">
        <f>G659-SUM(G660:G662)</f>
        <v>0</v>
      </c>
      <c r="H663" s="19">
        <f>H659-SUM(H660:H662)</f>
        <v>0</v>
      </c>
      <c r="I663" s="19">
        <f>I659-SUM(I660:I662)</f>
        <v>3700278.9099999992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206.27</v>
      </c>
      <c r="G664" s="249"/>
      <c r="H664" s="249"/>
      <c r="I664" s="19">
        <f>SUM(F664:H664)</f>
        <v>206.27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17939.009999999998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17939.009999999998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17939.009999999998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17939.009999999998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>&amp;CDOE 25 for 2011-2012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A1:C54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HOLDERNESS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1286117.5900000001</v>
      </c>
      <c r="C9" s="230">
        <f>'DOE25'!G196+'DOE25'!G214+'DOE25'!G232+'DOE25'!G275+'DOE25'!G294+'DOE25'!G313</f>
        <v>573501.06999999995</v>
      </c>
    </row>
    <row r="10" spans="1:3">
      <c r="A10" t="s">
        <v>779</v>
      </c>
      <c r="B10" s="241">
        <v>1203589.25</v>
      </c>
      <c r="C10" s="241">
        <v>542275.61</v>
      </c>
    </row>
    <row r="11" spans="1:3">
      <c r="A11" t="s">
        <v>780</v>
      </c>
      <c r="B11" s="241">
        <v>54722.09</v>
      </c>
      <c r="C11" s="241">
        <v>28728.82</v>
      </c>
    </row>
    <row r="12" spans="1:3">
      <c r="A12" t="s">
        <v>781</v>
      </c>
      <c r="B12" s="241">
        <v>27806.25</v>
      </c>
      <c r="C12" s="241">
        <v>2496.64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1286117.5900000001</v>
      </c>
      <c r="C13" s="232">
        <f>SUM(C10:C12)</f>
        <v>573501.06999999995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303156.38</v>
      </c>
      <c r="C18" s="230">
        <f>'DOE25'!G197+'DOE25'!G215+'DOE25'!G233+'DOE25'!G276+'DOE25'!G295+'DOE25'!G314</f>
        <v>162502.22</v>
      </c>
    </row>
    <row r="19" spans="1:3">
      <c r="A19" t="s">
        <v>779</v>
      </c>
      <c r="B19" s="241">
        <v>185172</v>
      </c>
      <c r="C19" s="241">
        <v>104771.17</v>
      </c>
    </row>
    <row r="20" spans="1:3">
      <c r="A20" t="s">
        <v>780</v>
      </c>
      <c r="B20" s="241">
        <v>111954.38</v>
      </c>
      <c r="C20" s="241">
        <v>56647.78</v>
      </c>
    </row>
    <row r="21" spans="1:3">
      <c r="A21" t="s">
        <v>781</v>
      </c>
      <c r="B21" s="241">
        <v>6030</v>
      </c>
      <c r="C21" s="241">
        <v>1083.27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303156.38</v>
      </c>
      <c r="C22" s="232">
        <f>SUM(C19:C21)</f>
        <v>162502.22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37423.71</v>
      </c>
      <c r="C36" s="236">
        <f>'DOE25'!G199+'DOE25'!G217+'DOE25'!G235+'DOE25'!G278+'DOE25'!G297+'DOE25'!G316</f>
        <v>6114.67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37423.71</v>
      </c>
      <c r="C39" s="241">
        <v>6114.67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37423.71</v>
      </c>
      <c r="C40" s="232">
        <f>SUM(C37:C39)</f>
        <v>6114.67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HOLDERNESS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2443896.0499999998</v>
      </c>
      <c r="D5" s="20">
        <f>SUM('DOE25'!L196:L199)+SUM('DOE25'!L214:L217)+SUM('DOE25'!L232:L235)-F5-G5</f>
        <v>2439819.8499999996</v>
      </c>
      <c r="E5" s="244"/>
      <c r="F5" s="256">
        <f>SUM('DOE25'!J196:J199)+SUM('DOE25'!J214:J217)+SUM('DOE25'!J232:J235)</f>
        <v>3375.2000000000003</v>
      </c>
      <c r="G5" s="53">
        <f>SUM('DOE25'!K196:K199)+SUM('DOE25'!K214:K217)+SUM('DOE25'!K232:K235)</f>
        <v>701</v>
      </c>
      <c r="H5" s="260"/>
    </row>
    <row r="6" spans="1:9">
      <c r="A6" s="32">
        <v>2100</v>
      </c>
      <c r="B6" t="s">
        <v>801</v>
      </c>
      <c r="C6" s="246">
        <f t="shared" si="0"/>
        <v>272567.55000000005</v>
      </c>
      <c r="D6" s="20">
        <f>'DOE25'!L201+'DOE25'!L219+'DOE25'!L237-F6-G6</f>
        <v>272567.55000000005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137710.25</v>
      </c>
      <c r="D7" s="20">
        <f>'DOE25'!L202+'DOE25'!L220+'DOE25'!L238-F7-G7</f>
        <v>137710.25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125501.75000000003</v>
      </c>
      <c r="D8" s="244"/>
      <c r="E8" s="20">
        <f>'DOE25'!L203+'DOE25'!L221+'DOE25'!L239-F8-G8-D9-D11</f>
        <v>122272.68000000002</v>
      </c>
      <c r="F8" s="256">
        <f>'DOE25'!J203+'DOE25'!J221+'DOE25'!J239</f>
        <v>0</v>
      </c>
      <c r="G8" s="53">
        <f>'DOE25'!K203+'DOE25'!K221+'DOE25'!K239</f>
        <v>3229.07</v>
      </c>
      <c r="H8" s="260"/>
    </row>
    <row r="9" spans="1:9">
      <c r="A9" s="32">
        <v>2310</v>
      </c>
      <c r="B9" t="s">
        <v>818</v>
      </c>
      <c r="C9" s="246">
        <f t="shared" si="0"/>
        <v>7970.59</v>
      </c>
      <c r="D9" s="245">
        <v>7970.59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5575</v>
      </c>
      <c r="D10" s="244"/>
      <c r="E10" s="245">
        <v>5575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76187.75</v>
      </c>
      <c r="D11" s="245">
        <v>76187.75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208076.04</v>
      </c>
      <c r="D12" s="20">
        <f>'DOE25'!L204+'DOE25'!L222+'DOE25'!L240-F12-G12</f>
        <v>207607.63</v>
      </c>
      <c r="E12" s="244"/>
      <c r="F12" s="256">
        <f>'DOE25'!J204+'DOE25'!J222+'DOE25'!J240</f>
        <v>0</v>
      </c>
      <c r="G12" s="53">
        <f>'DOE25'!K204+'DOE25'!K222+'DOE25'!K240</f>
        <v>468.41</v>
      </c>
      <c r="H12" s="260"/>
    </row>
    <row r="13" spans="1:9">
      <c r="A13" s="32">
        <v>2500</v>
      </c>
      <c r="B13" t="s">
        <v>803</v>
      </c>
      <c r="C13" s="246">
        <f t="shared" si="0"/>
        <v>283.5</v>
      </c>
      <c r="D13" s="244"/>
      <c r="E13" s="20">
        <f>'DOE25'!L205+'DOE25'!L223+'DOE25'!L241-F13-G13</f>
        <v>283.5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327856.94</v>
      </c>
      <c r="D14" s="20">
        <f>'DOE25'!L206+'DOE25'!L224+'DOE25'!L242-F14-G14</f>
        <v>318505.65000000002</v>
      </c>
      <c r="E14" s="244"/>
      <c r="F14" s="256">
        <f>'DOE25'!J206+'DOE25'!J224+'DOE25'!J242</f>
        <v>9351.2900000000009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156277.69</v>
      </c>
      <c r="D15" s="20">
        <f>'DOE25'!L207+'DOE25'!L225+'DOE25'!L243-F15-G15</f>
        <v>156277.69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297394.56</v>
      </c>
      <c r="D25" s="244"/>
      <c r="E25" s="244"/>
      <c r="F25" s="259"/>
      <c r="G25" s="257"/>
      <c r="H25" s="258">
        <f>'DOE25'!L259+'DOE25'!L260+'DOE25'!L340+'DOE25'!L341</f>
        <v>297394.56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97035.060000000027</v>
      </c>
      <c r="D29" s="20">
        <f>'DOE25'!L357+'DOE25'!L358+'DOE25'!L359-'DOE25'!I366-F29-G29</f>
        <v>93173.420000000027</v>
      </c>
      <c r="E29" s="244"/>
      <c r="F29" s="256">
        <f>'DOE25'!J357+'DOE25'!J358+'DOE25'!J359</f>
        <v>3630.47</v>
      </c>
      <c r="G29" s="53">
        <f>'DOE25'!K357+'DOE25'!K358+'DOE25'!K359</f>
        <v>231.17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43878.899999999994</v>
      </c>
      <c r="D31" s="20">
        <f>'DOE25'!L289+'DOE25'!L308+'DOE25'!L327+'DOE25'!L332+'DOE25'!L333+'DOE25'!L334-F31-G31</f>
        <v>37499.44999999999</v>
      </c>
      <c r="E31" s="244"/>
      <c r="F31" s="256">
        <f>'DOE25'!J289+'DOE25'!J308+'DOE25'!J327+'DOE25'!J332+'DOE25'!J333+'DOE25'!J334</f>
        <v>5759.37</v>
      </c>
      <c r="G31" s="53">
        <f>'DOE25'!K289+'DOE25'!K308+'DOE25'!K327+'DOE25'!K332+'DOE25'!K333+'DOE25'!K334</f>
        <v>620.07999999999993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3747319.8299999991</v>
      </c>
      <c r="E33" s="247">
        <f>SUM(E5:E31)</f>
        <v>128131.18000000002</v>
      </c>
      <c r="F33" s="247">
        <f>SUM(F5:F31)</f>
        <v>22116.33</v>
      </c>
      <c r="G33" s="247">
        <f>SUM(G5:G31)</f>
        <v>5249.7300000000005</v>
      </c>
      <c r="H33" s="247">
        <f>SUM(H5:H31)</f>
        <v>297394.56</v>
      </c>
    </row>
    <row r="35" spans="2:8" ht="12" thickBot="1">
      <c r="B35" s="254" t="s">
        <v>847</v>
      </c>
      <c r="D35" s="255">
        <f>E33</f>
        <v>128131.18000000002</v>
      </c>
      <c r="E35" s="250"/>
    </row>
    <row r="36" spans="2:8" ht="12" thickTop="1">
      <c r="B36" t="s">
        <v>815</v>
      </c>
      <c r="D36" s="20">
        <f>D33</f>
        <v>3747319.8299999991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3" activePane="bottomLeft" state="frozen"/>
      <selection pane="bottomLeft" activeCell="C47" sqref="C47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HOLDERNESS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226773.07</v>
      </c>
      <c r="D8" s="95">
        <f>'DOE25'!G9</f>
        <v>3352.76</v>
      </c>
      <c r="E8" s="95">
        <f>'DOE25'!H9</f>
        <v>-3109.15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213362.47999999998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16103.39</v>
      </c>
      <c r="D12" s="95">
        <f>'DOE25'!G13</f>
        <v>-3352.76</v>
      </c>
      <c r="E12" s="95">
        <f>'DOE25'!H13</f>
        <v>3109.15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149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243025.46000000002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213362.47999999998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10944.94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10944.94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572.5</v>
      </c>
      <c r="E35" s="95">
        <f>'DOE25'!H36</f>
        <v>12634.58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-572.5</v>
      </c>
      <c r="E46" s="95">
        <f>'DOE25'!H47</f>
        <v>-12634.58</v>
      </c>
      <c r="F46" s="95">
        <f>'DOE25'!I47</f>
        <v>0</v>
      </c>
      <c r="G46" s="95">
        <f>'DOE25'!J47</f>
        <v>213362.47999999998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196806.53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35273.99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232080.52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213362.47999999998</v>
      </c>
      <c r="H49" s="124"/>
      <c r="I49" s="124"/>
    </row>
    <row r="50" spans="1:9" ht="12" thickTop="1">
      <c r="A50" s="38" t="s">
        <v>895</v>
      </c>
      <c r="B50" s="2"/>
      <c r="C50" s="41">
        <f>C49+C31</f>
        <v>243025.46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213362.47999999998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2948031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23466.48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133.55000000000001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136.62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42077.9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39889.130000000005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63489.16</v>
      </c>
      <c r="D61" s="130">
        <f>SUM(D56:D60)</f>
        <v>42077.9</v>
      </c>
      <c r="E61" s="130">
        <f>SUM(E56:E60)</f>
        <v>0</v>
      </c>
      <c r="F61" s="130">
        <f>SUM(F56:F60)</f>
        <v>0</v>
      </c>
      <c r="G61" s="130">
        <f>SUM(G56:G60)</f>
        <v>136.62</v>
      </c>
      <c r="H61"/>
      <c r="I61"/>
    </row>
    <row r="62" spans="1:9" ht="12" thickTop="1">
      <c r="A62" s="29" t="s">
        <v>175</v>
      </c>
      <c r="B62" s="6"/>
      <c r="C62" s="22">
        <f>C55+C61</f>
        <v>3011520.16</v>
      </c>
      <c r="D62" s="22">
        <f>D55+D61</f>
        <v>42077.9</v>
      </c>
      <c r="E62" s="22">
        <f>E55+E61</f>
        <v>0</v>
      </c>
      <c r="F62" s="22">
        <f>F55+F61</f>
        <v>0</v>
      </c>
      <c r="G62" s="22">
        <f>G55+G61</f>
        <v>136.62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1059806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1059806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75159.06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1037.94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75159.06</v>
      </c>
      <c r="D77" s="130">
        <f>SUM(D71:D76)</f>
        <v>1037.94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1134965.06</v>
      </c>
      <c r="D80" s="130">
        <f>SUM(D78:D79)+D77+D69</f>
        <v>1037.94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34450.559999999998</v>
      </c>
      <c r="D87" s="95">
        <f>SUM('DOE25'!G152:G160)</f>
        <v>17875.36</v>
      </c>
      <c r="E87" s="95">
        <f>SUM('DOE25'!H152:H160)</f>
        <v>43878.9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502.21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34952.769999999997</v>
      </c>
      <c r="D90" s="131">
        <f>SUM(D84:D89)</f>
        <v>17875.36</v>
      </c>
      <c r="E90" s="131">
        <f>SUM(E84:E89)</f>
        <v>43878.9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76674.320000000007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76674.320000000007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>
      <c r="A103" s="33" t="s">
        <v>765</v>
      </c>
      <c r="C103" s="86">
        <f>C62+C80+C90+C102</f>
        <v>4181437.99</v>
      </c>
      <c r="D103" s="86">
        <f>D62+D80+D90+D102</f>
        <v>137665.52000000002</v>
      </c>
      <c r="E103" s="86">
        <f>E62+E80+E90+E102</f>
        <v>43878.9</v>
      </c>
      <c r="F103" s="86">
        <f>F62+F80+F90+F102</f>
        <v>0</v>
      </c>
      <c r="G103" s="86">
        <f>G62+G80+G102</f>
        <v>50136.62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1894451.3699999999</v>
      </c>
      <c r="D108" s="24" t="s">
        <v>289</v>
      </c>
      <c r="E108" s="95">
        <f>('DOE25'!L275)+('DOE25'!L294)+('DOE25'!L313)</f>
        <v>30223.82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500225.04</v>
      </c>
      <c r="D109" s="24" t="s">
        <v>289</v>
      </c>
      <c r="E109" s="95">
        <f>('DOE25'!L276)+('DOE25'!L295)+('DOE25'!L314)</f>
        <v>6338.14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49219.639999999992</v>
      </c>
      <c r="D111" s="24" t="s">
        <v>289</v>
      </c>
      <c r="E111" s="95">
        <f>+('DOE25'!L278)+('DOE25'!L297)+('DOE25'!L316)</f>
        <v>769.2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2443896.0499999998</v>
      </c>
      <c r="D114" s="86">
        <f>SUM(D108:D113)</f>
        <v>0</v>
      </c>
      <c r="E114" s="86">
        <f>SUM(E108:E113)</f>
        <v>37331.159999999996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272567.55000000005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137710.25</v>
      </c>
      <c r="D118" s="24" t="s">
        <v>289</v>
      </c>
      <c r="E118" s="95">
        <f>+('DOE25'!L281)+('DOE25'!L300)+('DOE25'!L319)</f>
        <v>46.74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209660.09000000003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208076.04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283.5</v>
      </c>
      <c r="D121" s="24" t="s">
        <v>289</v>
      </c>
      <c r="E121" s="95">
        <f>+('DOE25'!L284)+('DOE25'!L303)+('DOE25'!L322)</f>
        <v>325.57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327856.94</v>
      </c>
      <c r="D122" s="24" t="s">
        <v>289</v>
      </c>
      <c r="E122" s="95">
        <f>+('DOE25'!L285)+('DOE25'!L304)+('DOE25'!L323)</f>
        <v>5880.92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156277.69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294.51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137665.52000000002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1312432.06</v>
      </c>
      <c r="D127" s="86">
        <f>SUM(D117:D126)</f>
        <v>137665.52000000002</v>
      </c>
      <c r="E127" s="86">
        <f>SUM(E117:E126)</f>
        <v>6547.7400000000007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237107.9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60286.66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76674.320000000007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66.25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50070.37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-136.62000000000262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424068.88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4180396.9899999998</v>
      </c>
      <c r="D144" s="86">
        <f>(D114+D127+D143)</f>
        <v>137665.52000000002</v>
      </c>
      <c r="E144" s="86">
        <f>(E114+E127+E143)</f>
        <v>43878.899999999994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07/07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2371079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1422647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1422647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237107.9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237107.9</v>
      </c>
    </row>
    <row r="158" spans="1:9">
      <c r="A158" s="22" t="s">
        <v>35</v>
      </c>
      <c r="B158" s="137">
        <f>'DOE25'!F497</f>
        <v>1185539.1000000001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1185539.1000000001</v>
      </c>
    </row>
    <row r="159" spans="1:9">
      <c r="A159" s="22" t="s">
        <v>36</v>
      </c>
      <c r="B159" s="137">
        <f>'DOE25'!F498</f>
        <v>166449.74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166449.74</v>
      </c>
    </row>
    <row r="160" spans="1:9">
      <c r="A160" s="22" t="s">
        <v>37</v>
      </c>
      <c r="B160" s="137">
        <f>'DOE25'!F499</f>
        <v>1351988.84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1351988.84</v>
      </c>
    </row>
    <row r="161" spans="1:7">
      <c r="A161" s="22" t="s">
        <v>38</v>
      </c>
      <c r="B161" s="137">
        <f>'DOE25'!F500</f>
        <v>237107.9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237107.9</v>
      </c>
    </row>
    <row r="162" spans="1:7">
      <c r="A162" s="22" t="s">
        <v>39</v>
      </c>
      <c r="B162" s="137">
        <f>'DOE25'!F501</f>
        <v>50859.64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50859.64</v>
      </c>
    </row>
    <row r="163" spans="1:7">
      <c r="A163" s="22" t="s">
        <v>246</v>
      </c>
      <c r="B163" s="137">
        <f>'DOE25'!F502</f>
        <v>287967.53999999998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287967.53999999998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HOLDERNESS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17939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17939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1924675</v>
      </c>
      <c r="D10" s="182">
        <f>ROUND((C10/$C$28)*100,1)</f>
        <v>48.7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506563</v>
      </c>
      <c r="D11" s="182">
        <f>ROUND((C11/$C$28)*100,1)</f>
        <v>12.8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49989</v>
      </c>
      <c r="D13" s="182">
        <f>ROUND((C13/$C$28)*100,1)</f>
        <v>1.3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272568</v>
      </c>
      <c r="D15" s="182">
        <f t="shared" ref="D15:D27" si="0">ROUND((C15/$C$28)*100,1)</f>
        <v>6.9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137757</v>
      </c>
      <c r="D16" s="182">
        <f t="shared" si="0"/>
        <v>3.5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209955</v>
      </c>
      <c r="D17" s="182">
        <f t="shared" si="0"/>
        <v>5.3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208076</v>
      </c>
      <c r="D18" s="182">
        <f t="shared" si="0"/>
        <v>5.3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609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333738</v>
      </c>
      <c r="D20" s="182">
        <f t="shared" si="0"/>
        <v>8.4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156278</v>
      </c>
      <c r="D21" s="182">
        <f t="shared" si="0"/>
        <v>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60287</v>
      </c>
      <c r="D25" s="182">
        <f t="shared" si="0"/>
        <v>1.5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95588.1</v>
      </c>
      <c r="D27" s="182">
        <f t="shared" si="0"/>
        <v>2.4</v>
      </c>
    </row>
    <row r="28" spans="1:4">
      <c r="B28" s="187" t="s">
        <v>723</v>
      </c>
      <c r="C28" s="180">
        <f>SUM(C10:C27)</f>
        <v>3956083.1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3956083.1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237108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2948031</v>
      </c>
      <c r="D35" s="182">
        <f t="shared" ref="D35:D40" si="1">ROUND((C35/$C$41)*100,1)</f>
        <v>69.5</v>
      </c>
    </row>
    <row r="36" spans="1:4">
      <c r="B36" s="185" t="s">
        <v>743</v>
      </c>
      <c r="C36" s="179">
        <f>SUM('DOE25'!F111:J111)-SUM('DOE25'!G96:G109)+('DOE25'!F173+'DOE25'!F174+'DOE25'!I173+'DOE25'!I174)-C35</f>
        <v>63625.780000000261</v>
      </c>
      <c r="D36" s="182">
        <f t="shared" si="1"/>
        <v>1.5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1059806</v>
      </c>
      <c r="D37" s="182">
        <f t="shared" si="1"/>
        <v>25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76197</v>
      </c>
      <c r="D38" s="182">
        <f t="shared" si="1"/>
        <v>1.8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96707</v>
      </c>
      <c r="D39" s="182">
        <f t="shared" si="1"/>
        <v>2.2999999999999998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4244366.78</v>
      </c>
      <c r="D41" s="184">
        <f>SUM(D35:D40)</f>
        <v>100.1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HOLDERNESS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2012-10-15T13:36:12Z</cp:lastPrinted>
  <dcterms:created xsi:type="dcterms:W3CDTF">1997-12-04T19:04:30Z</dcterms:created>
  <dcterms:modified xsi:type="dcterms:W3CDTF">2012-11-21T14:44:21Z</dcterms:modified>
</cp:coreProperties>
</file>