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43" i="1" l="1"/>
  <c r="H234" i="1"/>
  <c r="H235" i="1"/>
  <c r="H217" i="1"/>
  <c r="H225" i="1"/>
  <c r="I542" i="1"/>
  <c r="G531" i="1" l="1"/>
  <c r="F532" i="1"/>
  <c r="H497" i="1" l="1"/>
  <c r="J497" i="1"/>
  <c r="F116" i="1"/>
  <c r="B10" i="12" l="1"/>
  <c r="B12" i="12"/>
  <c r="J590" i="1"/>
  <c r="H232" i="1"/>
  <c r="H153" i="1"/>
  <c r="H467" i="1"/>
  <c r="H214" i="1"/>
  <c r="I232" i="1"/>
  <c r="I214" i="1"/>
  <c r="J603" i="1"/>
  <c r="J591" i="1"/>
  <c r="I591" i="1"/>
  <c r="H242" i="1"/>
  <c r="I224" i="1"/>
  <c r="H224" i="1"/>
  <c r="J238" i="1"/>
  <c r="H238" i="1"/>
  <c r="G238" i="1"/>
  <c r="I238" i="1"/>
  <c r="G233" i="1"/>
  <c r="J233" i="1"/>
  <c r="I233" i="1"/>
  <c r="J232" i="1"/>
  <c r="G214" i="1"/>
  <c r="G232" i="1"/>
  <c r="H215" i="1"/>
  <c r="H527" i="1"/>
  <c r="H526" i="1"/>
  <c r="F527" i="1"/>
  <c r="J521" i="1" l="1"/>
  <c r="J522" i="1"/>
  <c r="I522" i="1"/>
  <c r="I521" i="1"/>
  <c r="H522" i="1"/>
  <c r="H521" i="1"/>
  <c r="F522" i="1"/>
  <c r="F521" i="1"/>
  <c r="I603" i="1"/>
  <c r="I590" i="1"/>
  <c r="H314" i="1"/>
  <c r="H109" i="1"/>
  <c r="J254" i="1"/>
  <c r="G358" i="1"/>
  <c r="G359" i="1"/>
  <c r="G96" i="1"/>
  <c r="F9" i="1" l="1"/>
  <c r="F56" i="1" l="1"/>
  <c r="H154" i="1"/>
  <c r="H158" i="1"/>
  <c r="H24" i="1"/>
  <c r="H9" i="1"/>
  <c r="H359" i="1"/>
  <c r="G9" i="1"/>
  <c r="F24" i="1"/>
  <c r="H240" i="1"/>
  <c r="H222" i="1"/>
  <c r="H239" i="1"/>
  <c r="H221" i="1"/>
  <c r="H237" i="1"/>
  <c r="H219" i="1"/>
  <c r="H233" i="1"/>
  <c r="F233" i="1"/>
  <c r="F215" i="1"/>
  <c r="F237" i="1"/>
  <c r="F219" i="1"/>
  <c r="I220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H660" i="1" s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1" i="12" s="1"/>
  <c r="B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7" i="10"/>
  <c r="C18" i="10"/>
  <c r="C19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F660" i="1"/>
  <c r="F661" i="1"/>
  <c r="I668" i="1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I469" i="1"/>
  <c r="J469" i="1"/>
  <c r="F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9" i="1"/>
  <c r="H630" i="1"/>
  <c r="H631" i="1"/>
  <c r="G633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/>
  <c r="G652" i="1"/>
  <c r="H652" i="1"/>
  <c r="J652" i="1" s="1"/>
  <c r="G653" i="1"/>
  <c r="H653" i="1"/>
  <c r="J653" i="1" s="1"/>
  <c r="H654" i="1"/>
  <c r="F191" i="1"/>
  <c r="G256" i="1"/>
  <c r="G270" i="1" s="1"/>
  <c r="G163" i="2"/>
  <c r="G159" i="2"/>
  <c r="C18" i="2"/>
  <c r="F31" i="2"/>
  <c r="C26" i="10"/>
  <c r="L350" i="1"/>
  <c r="L289" i="1"/>
  <c r="F659" i="1" s="1"/>
  <c r="C69" i="2"/>
  <c r="D12" i="13"/>
  <c r="C12" i="13" s="1"/>
  <c r="G8" i="2"/>
  <c r="G161" i="2"/>
  <c r="D61" i="2"/>
  <c r="D62" i="2" s="1"/>
  <c r="E49" i="2"/>
  <c r="D18" i="13"/>
  <c r="C18" i="13" s="1"/>
  <c r="D15" i="13"/>
  <c r="C15" i="13" s="1"/>
  <c r="F102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57" i="2"/>
  <c r="G155" i="2"/>
  <c r="E143" i="2"/>
  <c r="G102" i="2"/>
  <c r="E102" i="2"/>
  <c r="C102" i="2"/>
  <c r="D90" i="2"/>
  <c r="F90" i="2"/>
  <c r="C61" i="2"/>
  <c r="C62" i="2" s="1"/>
  <c r="E31" i="2"/>
  <c r="C31" i="2"/>
  <c r="G61" i="2"/>
  <c r="D29" i="13"/>
  <c r="C29" i="13" s="1"/>
  <c r="D19" i="13"/>
  <c r="C19" i="13" s="1"/>
  <c r="E13" i="13"/>
  <c r="C13" i="13" s="1"/>
  <c r="J648" i="1" l="1"/>
  <c r="K256" i="1"/>
  <c r="K270" i="1" s="1"/>
  <c r="I256" i="1"/>
  <c r="I270" i="1" s="1"/>
  <c r="G160" i="2"/>
  <c r="D18" i="2"/>
  <c r="G168" i="1"/>
  <c r="I139" i="1"/>
  <c r="G139" i="1"/>
  <c r="A40" i="12"/>
  <c r="G570" i="1"/>
  <c r="I433" i="1"/>
  <c r="G433" i="1"/>
  <c r="C13" i="10"/>
  <c r="H661" i="1"/>
  <c r="C111" i="2"/>
  <c r="C21" i="10"/>
  <c r="A31" i="12"/>
  <c r="C108" i="2"/>
  <c r="C10" i="10"/>
  <c r="L528" i="1"/>
  <c r="F544" i="1"/>
  <c r="L523" i="1"/>
  <c r="L361" i="1"/>
  <c r="G634" i="1" s="1"/>
  <c r="K502" i="1"/>
  <c r="K499" i="1"/>
  <c r="I661" i="1"/>
  <c r="L327" i="1"/>
  <c r="I337" i="1"/>
  <c r="I351" i="1" s="1"/>
  <c r="E109" i="2"/>
  <c r="E108" i="2"/>
  <c r="J337" i="1"/>
  <c r="J351" i="1" s="1"/>
  <c r="C11" i="10"/>
  <c r="F31" i="13"/>
  <c r="G660" i="1"/>
  <c r="I660" i="1" s="1"/>
  <c r="D126" i="2"/>
  <c r="D127" i="2" s="1"/>
  <c r="D144" i="2" s="1"/>
  <c r="D50" i="2"/>
  <c r="F139" i="1"/>
  <c r="F51" i="1"/>
  <c r="H616" i="1" s="1"/>
  <c r="J616" i="1" s="1"/>
  <c r="I662" i="1"/>
  <c r="L255" i="1"/>
  <c r="C119" i="2"/>
  <c r="D7" i="13"/>
  <c r="C7" i="13" s="1"/>
  <c r="C15" i="10"/>
  <c r="C117" i="2"/>
  <c r="L228" i="1"/>
  <c r="J649" i="1"/>
  <c r="C20" i="10"/>
  <c r="C120" i="2"/>
  <c r="C16" i="10"/>
  <c r="C123" i="2"/>
  <c r="F256" i="1"/>
  <c r="F270" i="1" s="1"/>
  <c r="G33" i="13"/>
  <c r="D14" i="13"/>
  <c r="C14" i="13" s="1"/>
  <c r="C122" i="2"/>
  <c r="C109" i="2"/>
  <c r="C118" i="2"/>
  <c r="L246" i="1"/>
  <c r="A22" i="12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J637" i="1" s="1"/>
  <c r="E50" i="2"/>
  <c r="J643" i="1"/>
  <c r="J642" i="1"/>
  <c r="J475" i="1"/>
  <c r="H625" i="1" s="1"/>
  <c r="I475" i="1"/>
  <c r="H624" i="1" s="1"/>
  <c r="G337" i="1"/>
  <c r="G351" i="1" s="1"/>
  <c r="C23" i="10"/>
  <c r="F168" i="1"/>
  <c r="J139" i="1"/>
  <c r="D103" i="2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C39" i="10" l="1"/>
  <c r="C114" i="2"/>
  <c r="L544" i="1"/>
  <c r="K551" i="1"/>
  <c r="G471" i="1"/>
  <c r="C27" i="10"/>
  <c r="C28" i="10" s="1"/>
  <c r="D25" i="10" s="1"/>
  <c r="G473" i="1"/>
  <c r="H634" i="1"/>
  <c r="J634" i="1" s="1"/>
  <c r="G627" i="1"/>
  <c r="G467" i="1"/>
  <c r="E114" i="2"/>
  <c r="E144" i="2" s="1"/>
  <c r="H647" i="1"/>
  <c r="J647" i="1" s="1"/>
  <c r="H192" i="1"/>
  <c r="C38" i="10"/>
  <c r="F192" i="1"/>
  <c r="C36" i="10"/>
  <c r="L256" i="1"/>
  <c r="L270" i="1" s="1"/>
  <c r="G631" i="1" s="1"/>
  <c r="J631" i="1" s="1"/>
  <c r="C127" i="2"/>
  <c r="H659" i="1"/>
  <c r="H663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C25" i="13"/>
  <c r="H33" i="13"/>
  <c r="F666" i="1"/>
  <c r="F671" i="1"/>
  <c r="G630" i="1"/>
  <c r="J630" i="1" s="1"/>
  <c r="G645" i="1"/>
  <c r="G625" i="1"/>
  <c r="J51" i="1"/>
  <c r="H620" i="1" s="1"/>
  <c r="J620" i="1" s="1"/>
  <c r="L351" i="1" l="1"/>
  <c r="G632" i="1" s="1"/>
  <c r="G628" i="1"/>
  <c r="G469" i="1"/>
  <c r="G475" i="1" s="1"/>
  <c r="H622" i="1" s="1"/>
  <c r="J622" i="1" s="1"/>
  <c r="H627" i="1"/>
  <c r="J627" i="1"/>
  <c r="G626" i="1"/>
  <c r="F467" i="1"/>
  <c r="C41" i="10"/>
  <c r="D39" i="10" s="1"/>
  <c r="C144" i="2"/>
  <c r="D21" i="10"/>
  <c r="D12" i="10"/>
  <c r="D16" i="10"/>
  <c r="D19" i="10"/>
  <c r="C30" i="10"/>
  <c r="D11" i="10"/>
  <c r="D23" i="10"/>
  <c r="D24" i="10"/>
  <c r="D10" i="10"/>
  <c r="D20" i="10"/>
  <c r="D13" i="10"/>
  <c r="D18" i="10"/>
  <c r="D26" i="10"/>
  <c r="D17" i="10"/>
  <c r="D15" i="10"/>
  <c r="D27" i="10"/>
  <c r="D22" i="10"/>
  <c r="H666" i="1"/>
  <c r="H671" i="1"/>
  <c r="C6" i="10" s="1"/>
  <c r="G636" i="1"/>
  <c r="J636" i="1" s="1"/>
  <c r="H645" i="1"/>
  <c r="J645" i="1" s="1"/>
  <c r="D33" i="13"/>
  <c r="D36" i="13" s="1"/>
  <c r="G663" i="1"/>
  <c r="I659" i="1"/>
  <c r="I663" i="1" s="1"/>
  <c r="J625" i="1"/>
  <c r="H632" i="1" l="1"/>
  <c r="H473" i="1"/>
  <c r="J632" i="1"/>
  <c r="H469" i="1"/>
  <c r="H475" i="1" s="1"/>
  <c r="H623" i="1" s="1"/>
  <c r="J623" i="1" s="1"/>
  <c r="H628" i="1"/>
  <c r="J628" i="1"/>
  <c r="H626" i="1"/>
  <c r="F469" i="1"/>
  <c r="F475" i="1" s="1"/>
  <c r="H621" i="1" s="1"/>
  <c r="J626" i="1"/>
  <c r="D37" i="10"/>
  <c r="D38" i="10"/>
  <c r="D40" i="10"/>
  <c r="D36" i="10"/>
  <c r="D35" i="10"/>
  <c r="D28" i="10"/>
  <c r="I666" i="1"/>
  <c r="I671" i="1"/>
  <c r="C7" i="10" s="1"/>
  <c r="G671" i="1"/>
  <c r="C5" i="10" s="1"/>
  <c r="G666" i="1"/>
  <c r="J621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<sst xmlns="http://schemas.openxmlformats.org/spreadsheetml/2006/main" count="3953" uniqueCount="919">
  <si>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</si>
  <si>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</si>
  <si>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</si>
  <si>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</si>
  <si>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</si>
  <si>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</si>
  <si>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</si>
  <si>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</si>
  <si>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</si>
  <si>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</si>
  <si>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</si>
  <si>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</si>
  <si>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</si>
  <si>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</si>
  <si>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</si>
  <si>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</si>
  <si>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</si>
  <si>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</si>
  <si>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</si>
  <si>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</si>
  <si>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</si>
  <si>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</si>
  <si>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</si>
  <si>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</si>
  <si>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</si>
  <si>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</si>
  <si>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</si>
  <si>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</si>
  <si>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</si>
  <si>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</si>
  <si>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</si>
  <si>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</si>
  <si>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</si>
  <si>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</si>
  <si>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</si>
  <si>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</si>
  <si>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</si>
  <si>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</si>
  <si>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</si>
  <si>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</si>
  <si>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</si>
  <si>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</si>
  <si>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</si>
  <si>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</si>
  <si>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</si>
  <si>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</si>
  <si>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</si>
  <si>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</si>
  <si>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</si>
  <si>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</si>
  <si>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</si>
  <si>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</si>
  <si>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</si>
  <si>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</si>
  <si>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</si>
  <si>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</si>
  <si>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</si>
  <si>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</si>
  <si>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</si>
  <si>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</si>
  <si>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</si>
  <si>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</si>
  <si>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</si>
  <si>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</si>
  <si>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</si>
  <si>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</si>
  <si>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</si>
  <si>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</si>
  <si>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</si>
  <si>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</si>
  <si>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</si>
  <si>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</si>
  <si>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</si>
  <si>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</si>
  <si>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</si>
  <si>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</si>
  <si>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</si>
  <si>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</si>
  <si>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</si>
  <si>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</si>
  <si>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</si>
  <si>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</si>
  <si>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</si>
  <si>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</si>
  <si>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</si>
  <si>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</si>
  <si>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</si>
  <si>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</si>
  <si>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</si>
  <si>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</si>
  <si>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</si>
  <si>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</si>
  <si>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</si>
  <si>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</si>
  <si>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</si>
  <si>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</si>
  <si>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</si>
  <si>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</si>
  <si>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</si>
  <si>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</si>
  <si>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</si>
  <si>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</si>
  <si>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</si>
  <si>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</si>
  <si>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</si>
  <si>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</si>
  <si>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</si>
  <si>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</si>
  <si>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</si>
  <si>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</si>
  <si>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</si>
  <si>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</si>
  <si>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</si>
  <si>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</si>
  <si>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</si>
  <si>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</si>
  <si>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</si>
  <si>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</si>
  <si>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</si>
  <si>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</si>
  <si>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</si>
  <si>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</si>
  <si>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</si>
  <si>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</si>
  <si>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</si>
  <si>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</si>
  <si>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</si>
  <si>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</si>
  <si>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</si>
  <si>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</si>
  <si>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</si>
  <si>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</si>
  <si>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</si>
  <si>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</si>
  <si>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</si>
  <si>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</si>
  <si>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</si>
  <si>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</si>
  <si>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</si>
  <si>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</si>
  <si>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</si>
  <si>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</si>
  <si>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</si>
  <si>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</si>
  <si>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</si>
  <si>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</si>
  <si>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</si>
  <si>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</si>
  <si>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</si>
  <si>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</si>
  <si>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</si>
  <si>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</si>
  <si>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</si>
  <si>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</si>
  <si>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</si>
  <si>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</si>
  <si>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</si>
  <si>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</si>
  <si>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</si>
  <si>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</si>
  <si>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</si>
  <si>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</si>
  <si>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</si>
  <si>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</si>
  <si>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</si>
  <si>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</si>
  <si>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</si>
  <si>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</si>
  <si>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</si>
  <si>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</si>
  <si>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</si>
  <si>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</si>
  <si>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</si>
  <si>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</si>
  <si>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</si>
  <si>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</si>
  <si>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</si>
  <si>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</si>
  <si>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</si>
  <si>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</si>
  <si>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</si>
  <si>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</si>
  <si>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</si>
  <si>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</si>
  <si>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</si>
  <si>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</si>
  <si>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</si>
  <si>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</si>
  <si>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</si>
  <si>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</si>
  <si>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</si>
  <si>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</si>
  <si>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</si>
  <si>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</si>
  <si>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</si>
  <si>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</si>
  <si>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</si>
  <si>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</si>
  <si>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</si>
  <si>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</si>
  <si>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</si>
  <si>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</si>
  <si>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</si>
  <si>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</si>
  <si>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</si>
  <si>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</si>
  <si>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</si>
  <si>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</si>
  <si>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</si>
  <si>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</si>
  <si>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</si>
  <si>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</si>
  <si>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</si>
  <si>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</si>
  <si>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</si>
  <si>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</si>
  <si>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</si>
  <si>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</si>
  <si>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</si>
  <si>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</si>
  <si>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</si>
  <si>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</si>
  <si>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</si>
  <si>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</si>
  <si>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</si>
  <si>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</si>
  <si>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</si>
  <si>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</si>
  <si>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</si>
  <si>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</si>
  <si>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</si>
  <si>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</si>
  <si>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</si>
  <si>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</si>
  <si>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</si>
  <si>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</si>
  <si>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</si>
  <si>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</si>
  <si>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</si>
  <si>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</si>
  <si>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</si>
  <si>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</si>
  <si>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</si>
  <si>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</si>
  <si>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</si>
  <si>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</si>
  <si>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</si>
  <si>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</si>
  <si>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</si>
  <si>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</si>
  <si>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</si>
  <si>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</si>
  <si>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</si>
  <si>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</si>
  <si>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</si>
  <si>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</si>
  <si>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</si>
  <si>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</si>
  <si>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</si>
  <si>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</si>
  <si>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</si>
  <si>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</si>
  <si>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</si>
  <si>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</si>
  <si>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</si>
  <si>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</si>
  <si>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</si>
  <si>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</si>
  <si>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</si>
  <si>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</si>
  <si>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</si>
  <si>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</si>
  <si>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</si>
  <si>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</si>
  <si>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</si>
  <si>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</si>
  <si>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</si>
  <si>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</si>
  <si>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</si>
  <si>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</si>
  <si>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</si>
  <si>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</si>
  <si>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</si>
  <si>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</si>
  <si>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</si>
  <si>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</si>
  <si>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</si>
  <si>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</si>
  <si>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</si>
  <si>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</si>
  <si>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</si>
  <si>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</si>
  <si>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</si>
  <si>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</si>
  <si>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</si>
  <si>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</si>
  <si>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</si>
  <si>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</si>
  <si>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</si>
  <si>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</si>
  <si>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</si>
  <si>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</si>
  <si>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</si>
  <si>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</si>
  <si>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</si>
  <si>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</si>
  <si>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</si>
  <si>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</si>
  <si>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</si>
  <si>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</si>
  <si>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</si>
  <si>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</si>
  <si>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</si>
  <si>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</si>
  <si>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</si>
  <si>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</si>
  <si>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</si>
  <si>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</si>
  <si>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</si>
  <si>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</si>
  <si>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</si>
  <si>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</si>
  <si>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</si>
  <si>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</si>
  <si>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</si>
  <si>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</si>
  <si>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</si>
  <si>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</si>
  <si>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</si>
  <si>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</si>
  <si>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</si>
  <si>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</si>
  <si>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</si>
  <si>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</si>
  <si>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</si>
  <si>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</si>
  <si>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</si>
  <si>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</si>
  <si>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</si>
  <si>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</si>
  <si>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</si>
  <si>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</si>
  <si>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</si>
  <si>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</si>
  <si>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</si>
  <si>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</si>
  <si>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</si>
  <si>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</si>
  <si>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</si>
  <si>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</si>
  <si>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</si>
  <si>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</si>
  <si>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</si>
  <si>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</si>
  <si>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</si>
  <si>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</si>
  <si>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</si>
  <si>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</si>
  <si>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</si>
  <si>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</si>
  <si>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</si>
  <si>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</si>
  <si>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</si>
  <si>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</si>
  <si>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</si>
  <si>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</si>
  <si>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</si>
  <si>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</si>
  <si>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</si>
  <si>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</si>
  <si>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</si>
  <si>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</si>
  <si>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</si>
  <si>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</si>
  <si>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</si>
  <si>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</si>
  <si>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</si>
  <si>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</si>
  <si>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</si>
  <si>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</si>
  <si>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</si>
  <si>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</si>
  <si>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</si>
  <si>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</si>
  <si>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</si>
  <si>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</si>
  <si>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</si>
  <si>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</si>
  <si>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</si>
  <si>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</si>
  <si>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</si>
  <si>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</si>
  <si>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</si>
  <si>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</si>
  <si>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</si>
  <si>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</si>
  <si>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</si>
  <si>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</si>
  <si>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</si>
  <si>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</si>
  <si>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</si>
  <si>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</si>
  <si>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</si>
  <si>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</si>
  <si>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</si>
  <si>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</si>
  <si>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</si>
  <si>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</si>
  <si>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</si>
  <si>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</si>
  <si>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</si>
  <si>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</si>
  <si>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</si>
  <si>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</si>
  <si>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</si>
  <si>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</si>
  <si>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</si>
  <si>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</si>
  <si>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</si>
  <si>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</si>
  <si>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</si>
  <si>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</si>
  <si>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</si>
  <si>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</si>
  <si>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</si>
  <si>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</si>
  <si>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</si>
  <si>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</si>
  <si>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</si>
  <si>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</si>
  <si>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</si>
  <si>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</si>
  <si>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</si>
  <si>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</si>
  <si>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</si>
  <si>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</si>
  <si>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</si>
  <si>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</si>
  <si>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</si>
  <si>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</si>
  <si>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</si>
  <si>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</si>
  <si>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</si>
  <si>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</si>
  <si>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</si>
  <si>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</si>
  <si>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</si>
  <si>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</si>
  <si>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</si>
  <si>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</si>
  <si>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</si>
  <si>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</si>
  <si>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</si>
  <si>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</si>
  <si>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</si>
  <si>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</si>
  <si>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</si>
  <si>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</si>
  <si>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</si>
  <si>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</si>
  <si>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</si>
  <si>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</si>
  <si>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</si>
  <si>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</si>
  <si>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</si>
  <si>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</si>
  <si>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</si>
  <si>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</si>
  <si>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</si>
  <si>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</si>
  <si>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</si>
  <si>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</si>
  <si>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</si>
  <si>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</si>
  <si>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</si>
  <si>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</si>
  <si>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</si>
  <si>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</si>
  <si>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</si>
  <si>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</si>
  <si>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</si>
  <si>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</si>
  <si>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</si>
  <si>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</si>
  <si>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</si>
  <si>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</si>
  <si>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</si>
  <si>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</si>
  <si>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</si>
  <si>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</si>
  <si>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</si>
  <si>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</si>
  <si>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</si>
  <si>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</si>
  <si>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</si>
  <si>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</si>
  <si>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</si>
  <si>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</si>
  <si>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</si>
  <si>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</si>
  <si>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</si>
  <si>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</si>
  <si>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</si>
  <si>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</si>
  <si>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</si>
  <si>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</si>
  <si>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</si>
  <si>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</si>
  <si>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</si>
  <si>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</si>
  <si>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</si>
  <si>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</si>
  <si>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</si>
  <si>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</si>
  <si>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</si>
  <si>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</si>
  <si>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</si>
  <si>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</si>
  <si>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</si>
  <si>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</si>
  <si>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</si>
  <si>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</si>
  <si>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</si>
  <si>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</si>
  <si>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</si>
  <si>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</si>
  <si>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</si>
  <si>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</si>
  <si>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</si>
  <si>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</si>
  <si>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</si>
  <si>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</si>
  <si>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</si>
  <si>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</si>
  <si>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</si>
  <si>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</si>
  <si>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</si>
  <si>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</si>
  <si>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</si>
  <si>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</si>
  <si>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</si>
  <si>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</si>
  <si>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</si>
  <si>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</si>
  <si>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</si>
  <si>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</si>
  <si>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</si>
  <si>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</si>
  <si>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</si>
  <si>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</si>
  <si>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</si>
  <si>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</si>
  <si>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</si>
  <si>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</si>
  <si>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</si>
  <si>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</si>
  <si>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</si>
  <si>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</si>
  <si>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</si>
  <si>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</si>
  <si>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</si>
  <si>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</si>
  <si>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</si>
  <si>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</si>
  <si>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</si>
  <si>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</si>
  <si>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</si>
  <si>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</si>
  <si>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</si>
  <si>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</si>
  <si>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</si>
  <si>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</si>
  <si>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</si>
  <si>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</si>
  <si>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</si>
  <si>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</si>
  <si>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</si>
  <si>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</si>
  <si>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</si>
  <si>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</si>
  <si>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</si>
  <si>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</si>
  <si>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</si>
  <si>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</si>
  <si>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</si>
  <si>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</si>
  <si>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</si>
  <si>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</si>
  <si>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</si>
  <si>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</si>
  <si>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</si>
  <si>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</si>
  <si>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</si>
  <si>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</si>
  <si>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</si>
  <si>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</si>
  <si>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</si>
  <si>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</si>
  <si>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</si>
  <si>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</si>
  <si>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</si>
  <si>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</si>
  <si>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</si>
  <si>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</si>
  <si>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</si>
  <si>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</si>
  <si>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</si>
  <si>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</si>
  <si>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</si>
  <si>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</si>
  <si>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</si>
  <si>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</si>
  <si>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</si>
  <si>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</si>
  <si>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</si>
  <si>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</si>
  <si>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</si>
  <si>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</si>
  <si>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</si>
  <si>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</si>
  <si>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</si>
  <si>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</si>
  <si>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</si>
  <si>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</si>
  <si>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</si>
  <si>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</si>
  <si>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</si>
  <si>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</si>
  <si>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</si>
  <si>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</si>
  <si>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</si>
  <si>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</si>
  <si>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</si>
  <si>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</si>
  <si>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</si>
  <si>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</si>
  <si>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</si>
  <si>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</si>
  <si>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</si>
  <si>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</si>
  <si>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</si>
  <si>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</si>
  <si>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</si>
  <si>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</si>
  <si>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</si>
  <si>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</si>
  <si>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</si>
  <si>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</si>
  <si>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</si>
  <si>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</si>
  <si>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</si>
  <si>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</si>
  <si>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</si>
  <si>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</si>
  <si>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</si>
  <si>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</si>
  <si>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</si>
  <si>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</si>
  <si>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</si>
  <si>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</si>
  <si>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</si>
  <si>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</si>
  <si>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</si>
  <si>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</si>
  <si>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</si>
  <si>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</si>
  <si>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</si>
  <si>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</si>
  <si>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</si>
  <si>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</si>
  <si>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</si>
  <si>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</si>
  <si>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</si>
  <si>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</si>
  <si>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</si>
  <si>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</si>
  <si>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</si>
  <si>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</si>
  <si>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</si>
  <si>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</si>
  <si>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</si>
  <si>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</si>
  <si>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</si>
  <si>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</si>
  <si>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</si>
  <si>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</si>
  <si>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</si>
  <si>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</si>
  <si>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</si>
  <si>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</si>
  <si>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</si>
  <si>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</si>
  <si>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</si>
  <si>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</si>
  <si>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</si>
  <si>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</si>
  <si>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</si>
  <si>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</si>
  <si>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</si>
  <si>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</si>
  <si>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</si>
  <si>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</si>
  <si>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</si>
  <si>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</si>
  <si>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</si>
  <si>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</si>
  <si>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</si>
  <si>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</si>
  <si>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</si>
  <si>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</si>
  <si>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</si>
  <si>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</si>
  <si>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</si>
  <si>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</si>
  <si>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</si>
  <si>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</si>
  <si>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</si>
  <si>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</si>
  <si>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</si>
  <si>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</si>
  <si>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</si>
  <si>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</si>
  <si>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</si>
  <si>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</si>
  <si>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</si>
  <si>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</si>
  <si>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</si>
  <si>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</si>
  <si>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</si>
  <si>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</si>
  <si>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</si>
  <si>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</si>
  <si>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</si>
  <si>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</si>
  <si>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</si>
  <si>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</si>
  <si>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</si>
  <si>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</si>
  <si>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</si>
  <si>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</si>
  <si>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</si>
  <si>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</si>
  <si>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</si>
  <si>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</si>
  <si>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</si>
  <si>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</si>
  <si>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</si>
  <si>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</si>
  <si>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</si>
  <si>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</si>
  <si>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</si>
  <si>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</si>
  <si>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</si>
  <si>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</si>
  <si>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</si>
  <si>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</si>
  <si>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</si>
  <si>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</si>
  <si>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</si>
  <si>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</si>
  <si>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</si>
  <si>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</si>
  <si>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</si>
  <si>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</si>
  <si>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</si>
  <si>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</si>
  <si>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</si>
  <si>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</si>
  <si>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</si>
  <si>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</si>
  <si>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</si>
  <si>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</si>
  <si>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</si>
  <si>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</si>
  <si>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</si>
  <si>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</si>
  <si>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</si>
  <si>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</si>
  <si>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</si>
  <si>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</si>
  <si>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</si>
  <si>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</si>
  <si>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</si>
  <si>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</si>
  <si>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</si>
  <si>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</si>
  <si>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</si>
  <si>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</si>
  <si>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</si>
  <si>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</si>
  <si>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</si>
  <si>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</si>
  <si>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</si>
  <si>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</si>
  <si>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</si>
  <si>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</si>
  <si>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</si>
  <si>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</si>
  <si>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</si>
  <si>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</si>
  <si>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</si>
  <si>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</si>
  <si>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</si>
  <si>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</si>
  <si>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</si>
  <si>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</si>
  <si>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</si>
  <si>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</si>
  <si>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</si>
  <si>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</si>
  <si>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</si>
  <si>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</si>
  <si>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</si>
  <si>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</si>
  <si>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</si>
  <si>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</si>
  <si>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</si>
  <si>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</si>
  <si>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</si>
  <si>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</si>
  <si>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</si>
  <si>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</si>
  <si>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</si>
  <si>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</si>
  <si>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</si>
  <si>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</si>
  <si>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</si>
  <si>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</si>
  <si>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</si>
  <si>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</si>
  <si>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</si>
  <si>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</si>
  <si>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</si>
  <si>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</si>
  <si>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</si>
  <si>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</si>
  <si>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</si>
  <si>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</si>
  <si>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</si>
  <si>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</si>
  <si>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</si>
  <si>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</si>
  <si>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</si>
  <si>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</si>
  <si>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</si>
  <si>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</si>
  <si>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</si>
  <si>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</si>
  <si>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</si>
  <si>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</si>
  <si>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</si>
  <si>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</si>
  <si>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</si>
  <si>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</si>
  <si>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</si>
  <si>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</si>
  <si>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</si>
  <si>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</si>
  <si>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</si>
  <si>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</si>
  <si>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</si>
  <si>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</si>
  <si>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</si>
  <si>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</si>
  <si>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</si>
  <si>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</si>
  <si>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</si>
  <si>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</si>
  <si>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</si>
  <si>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</si>
  <si>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</si>
  <si>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</si>
  <si>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</si>
  <si>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</si>
  <si>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</si>
  <si>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</si>
  <si>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</si>
  <si>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</si>
  <si>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</si>
  <si>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</si>
  <si>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</si>
  <si>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</si>
  <si>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</si>
  <si>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</si>
  <si>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</si>
  <si>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</si>
  <si>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</si>
  <si>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</si>
  <si>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</si>
  <si>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</si>
  <si>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</si>
  <si>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</si>
  <si>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</si>
  <si>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</si>
  <si>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</si>
  <si>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</si>
  <si>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</si>
  <si>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</si>
  <si>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</si>
  <si>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</si>
  <si>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</si>
  <si>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</si>
  <si>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</si>
  <si>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</si>
  <si>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</si>
  <si>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</si>
  <si>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</si>
  <si>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</si>
  <si>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</si>
  <si>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Hollis Brookline Cooperative</t>
  </si>
  <si>
    <t>08/04</t>
  </si>
  <si>
    <t>01/03</t>
  </si>
  <si>
    <t>08/00</t>
  </si>
  <si>
    <t>08/96</t>
  </si>
  <si>
    <t>08/24</t>
  </si>
  <si>
    <t>01/13</t>
  </si>
  <si>
    <t>08/15</t>
  </si>
  <si>
    <t>08/16</t>
  </si>
  <si>
    <t>8/96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</si>
</sst>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>
    <font>
      <sz val="8"/>
      <name val="Arial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8" fillId="0" borderId="0"/>
  </cellStyleXfs>
  <cellXfs count="302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" fontId="5" fillId="0" borderId="0" xfId="2" applyNumberFormat="1" applyFont="1" applyProtection="1">
      <protection locked="0"/>
    </xf>
    <xf numFmtId="4" fontId="5" fillId="0" borderId="0" xfId="2" applyNumberFormat="1" applyFont="1" applyProtection="1">
      <protection locked="0"/>
    </xf>
    <xf numFmtId="4" fontId="5" fillId="0" borderId="0" xfId="2" applyNumberFormat="1" applyFont="1" applyProtection="1">
      <protection locked="0"/>
    </xf>
    <xf numFmtId="4" fontId="5" fillId="0" borderId="0" xfId="2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</cellXfs>
  <cellStyles count="3">
    <cellStyle name="Normal" xfId="0" builtinId="0"/>
    <cellStyle name="Normal 2" xfId="2"/>
    <cellStyle name="Normal 3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260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657958+900-311146</f>
        <v>347712</v>
      </c>
      <c r="G9" s="18">
        <f>87542+74+150216</f>
        <v>237832</v>
      </c>
      <c r="H9" s="18">
        <f>477+160930</f>
        <v>161407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7804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150999</v>
      </c>
      <c r="G12" s="18"/>
      <c r="H12" s="18">
        <v>164592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11306</v>
      </c>
      <c r="G13" s="18">
        <v>2713</v>
      </c>
      <c r="H13" s="18">
        <v>2515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1866</v>
      </c>
      <c r="G14" s="18">
        <v>45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6800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34665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554352</v>
      </c>
      <c r="G19" s="41">
        <f>SUM(G9:G18)</f>
        <v>247390</v>
      </c>
      <c r="H19" s="41">
        <f>SUM(H9:H18)</f>
        <v>328514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150999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20984</v>
      </c>
      <c r="G23" s="18">
        <v>2071</v>
      </c>
      <c r="H23" s="18">
        <v>9438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101221+96115</f>
        <v>197336</v>
      </c>
      <c r="G24" s="18"/>
      <c r="H24" s="18">
        <f>4155+334</f>
        <v>4489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55322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16674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273642</v>
      </c>
      <c r="G32" s="41">
        <f>SUM(G22:G31)</f>
        <v>18745</v>
      </c>
      <c r="H32" s="41">
        <f>SUM(H22:H31)</f>
        <v>164926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6800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34665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99151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146894</v>
      </c>
      <c r="G45" s="18">
        <v>216856</v>
      </c>
      <c r="H45" s="18">
        <v>163588</v>
      </c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4989</v>
      </c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280710</v>
      </c>
      <c r="G50" s="41">
        <f>SUM(G35:G49)</f>
        <v>228645</v>
      </c>
      <c r="H50" s="41">
        <f>SUM(H35:H49)</f>
        <v>163588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554352</v>
      </c>
      <c r="G51" s="41">
        <f>G50+G32</f>
        <v>247390</v>
      </c>
      <c r="H51" s="41">
        <f>H50+H32</f>
        <v>328514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5045386+7452267</f>
        <v>12497653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12497653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10784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13916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10784</v>
      </c>
      <c r="G78" s="45" t="s">
        <v>289</v>
      </c>
      <c r="H78" s="41">
        <f>SUM(H62:H77)</f>
        <v>13916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5248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464913-27</f>
        <v>464886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96308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3687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6258</v>
      </c>
      <c r="G109" s="18"/>
      <c r="H109" s="18">
        <f>137196-13916</f>
        <v>123280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112301</v>
      </c>
      <c r="G110" s="41">
        <f>SUM(G95:G109)</f>
        <v>464886</v>
      </c>
      <c r="H110" s="41">
        <f>SUM(H95:H109)</f>
        <v>123280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12620738</v>
      </c>
      <c r="G111" s="41">
        <f>G59+G110</f>
        <v>464886</v>
      </c>
      <c r="H111" s="41">
        <f>H59+H78+H93+H110</f>
        <v>137196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2918170-2526</f>
        <v>2915644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2154962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2526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15224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5088356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396021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160379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4719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3618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561119</v>
      </c>
      <c r="G135" s="41">
        <f>SUM(G122:G134)</f>
        <v>3618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5649475</v>
      </c>
      <c r="G139" s="41">
        <f>G120+SUM(G135:G136)</f>
        <v>3618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34902.15+3952.34-0.39</f>
        <v>38854.100000000006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10808.83+5639.59+2642.25+1200</f>
        <v>20290.669999999998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39541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256066.85+30021.31+16428.72</f>
        <v>302516.88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72788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18350</v>
      </c>
      <c r="H160" s="18">
        <v>108017.35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72788</v>
      </c>
      <c r="G161" s="41">
        <f>SUM(G149:G160)</f>
        <v>57891</v>
      </c>
      <c r="H161" s="41">
        <f>SUM(H149:H160)</f>
        <v>469679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72788</v>
      </c>
      <c r="G168" s="41">
        <f>G146+G161+SUM(G162:G167)</f>
        <v>57891</v>
      </c>
      <c r="H168" s="41">
        <f>H146+H161+SUM(H162:H167)</f>
        <v>469679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5797</v>
      </c>
      <c r="G186" s="18"/>
      <c r="H186" s="18">
        <v>1003</v>
      </c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5797</v>
      </c>
      <c r="G187" s="41">
        <f>SUM(G184:G186)</f>
        <v>0</v>
      </c>
      <c r="H187" s="41">
        <f>SUM(H184:H186)</f>
        <v>1003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5797</v>
      </c>
      <c r="G191" s="41">
        <f>G182+SUM(G187:G190)</f>
        <v>0</v>
      </c>
      <c r="H191" s="41">
        <f>+H182+SUM(H187:H190)</f>
        <v>1003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18348798</v>
      </c>
      <c r="G192" s="47">
        <f>G111+G139+G168+G191</f>
        <v>526395</v>
      </c>
      <c r="H192" s="47">
        <f>H111+H139+H168+H191</f>
        <v>607878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1792438.96</v>
      </c>
      <c r="G214" s="18">
        <f>650827.7+7612.14</f>
        <v>658439.84</v>
      </c>
      <c r="H214" s="18">
        <f>2446.49+28.29+49+5618.68</f>
        <v>8142.46</v>
      </c>
      <c r="I214" s="18">
        <f>53277.92+2333.81+7612</f>
        <v>63223.729999999996</v>
      </c>
      <c r="J214" s="18">
        <v>26736.01</v>
      </c>
      <c r="K214" s="18"/>
      <c r="L214" s="19">
        <f>SUM(F214:K214)</f>
        <v>2548980.9999999995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532826.63+7555.07</f>
        <v>540381.69999999995</v>
      </c>
      <c r="G215" s="18">
        <v>196210.52</v>
      </c>
      <c r="H215" s="18">
        <f>377064.74+1609.02</f>
        <v>378673.76</v>
      </c>
      <c r="I215" s="18">
        <v>1423.23</v>
      </c>
      <c r="J215" s="18">
        <v>19652.13</v>
      </c>
      <c r="K215" s="18"/>
      <c r="L215" s="19">
        <f>SUM(F215:K215)</f>
        <v>1136341.3399999999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47828</v>
      </c>
      <c r="G217" s="18">
        <v>17366.16</v>
      </c>
      <c r="H217" s="18">
        <f>15282.46-6866.85</f>
        <v>8415.6099999999988</v>
      </c>
      <c r="I217" s="18">
        <v>9269.99</v>
      </c>
      <c r="J217" s="18">
        <v>0</v>
      </c>
      <c r="K217" s="18"/>
      <c r="L217" s="19">
        <f>SUM(F217:K217)</f>
        <v>82879.760000000009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259322.01+12487.77</f>
        <v>271809.78000000003</v>
      </c>
      <c r="G219" s="18">
        <v>98693.09</v>
      </c>
      <c r="H219" s="18">
        <f>87992.28+19263.5+2592.48</f>
        <v>109848.26</v>
      </c>
      <c r="I219" s="18">
        <v>9529.4599999999991</v>
      </c>
      <c r="J219" s="18">
        <v>0</v>
      </c>
      <c r="K219" s="18"/>
      <c r="L219" s="19">
        <f t="shared" ref="L219:L225" si="2">SUM(F219:K219)</f>
        <v>489880.59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63515.93</v>
      </c>
      <c r="G220" s="18">
        <v>23062.39</v>
      </c>
      <c r="H220" s="18">
        <v>1539.76</v>
      </c>
      <c r="I220" s="18">
        <f>8111.56+15173.35</f>
        <v>23284.91</v>
      </c>
      <c r="J220" s="18">
        <v>1324.72</v>
      </c>
      <c r="K220" s="18"/>
      <c r="L220" s="19">
        <f t="shared" si="2"/>
        <v>112727.71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f>242447.77+5130+4695.99+1147.5+3209.76</f>
        <v>256631.02</v>
      </c>
      <c r="I221" s="18">
        <v>302.38</v>
      </c>
      <c r="J221" s="18"/>
      <c r="K221" s="18">
        <v>1660.36</v>
      </c>
      <c r="L221" s="19">
        <f t="shared" si="2"/>
        <v>258593.75999999998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289027.53999999998</v>
      </c>
      <c r="G222" s="18">
        <v>104944.79</v>
      </c>
      <c r="H222" s="18">
        <f>16932.91+308.38</f>
        <v>17241.29</v>
      </c>
      <c r="I222" s="18">
        <v>1997.4</v>
      </c>
      <c r="J222" s="18">
        <v>0</v>
      </c>
      <c r="K222" s="18"/>
      <c r="L222" s="19">
        <f t="shared" si="2"/>
        <v>413211.01999999996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169854.15</v>
      </c>
      <c r="G224" s="18">
        <v>61673.39</v>
      </c>
      <c r="H224" s="18">
        <f>59020.14+22932.7+1410.89+245+2237.71</f>
        <v>85846.44</v>
      </c>
      <c r="I224" s="18">
        <f>130977.28+261.23</f>
        <v>131238.51</v>
      </c>
      <c r="J224" s="18">
        <v>721.48</v>
      </c>
      <c r="K224" s="18"/>
      <c r="L224" s="19">
        <f t="shared" si="2"/>
        <v>449333.97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327581.03+1982.6+6866.85</f>
        <v>336430.48</v>
      </c>
      <c r="I225" s="18">
        <v>44203.62</v>
      </c>
      <c r="J225" s="18"/>
      <c r="K225" s="18"/>
      <c r="L225" s="19">
        <f t="shared" si="2"/>
        <v>380634.1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3174856.0600000005</v>
      </c>
      <c r="G228" s="41">
        <f>SUM(G214:G227)</f>
        <v>1160390.18</v>
      </c>
      <c r="H228" s="41">
        <f>SUM(H214:H227)</f>
        <v>1202769.08</v>
      </c>
      <c r="I228" s="41">
        <f>SUM(I214:I227)</f>
        <v>284473.23000000004</v>
      </c>
      <c r="J228" s="41">
        <f>SUM(J214:J227)</f>
        <v>48434.340000000004</v>
      </c>
      <c r="K228" s="41">
        <f t="shared" si="3"/>
        <v>1660.36</v>
      </c>
      <c r="L228" s="41">
        <f t="shared" si="3"/>
        <v>5872583.2499999981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3169655.05</v>
      </c>
      <c r="G232" s="18">
        <f>1160279.9+7612.14</f>
        <v>1167892.0399999998</v>
      </c>
      <c r="H232" s="18">
        <f>8505.3+50.29+574+5618.68-0.01</f>
        <v>14748.26</v>
      </c>
      <c r="I232" s="18">
        <f>3618.41+105794.17+7612</f>
        <v>117024.58</v>
      </c>
      <c r="J232" s="18">
        <f>32076.91+625</f>
        <v>32701.91</v>
      </c>
      <c r="K232" s="18">
        <v>244.94</v>
      </c>
      <c r="L232" s="19">
        <f>SUM(F232:K232)</f>
        <v>4502266.78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926680.87+13431.24</f>
        <v>940112.11</v>
      </c>
      <c r="G233" s="18">
        <f>344136.24</f>
        <v>344136.24</v>
      </c>
      <c r="H233" s="18">
        <f>537515.37+2860.49</f>
        <v>540375.86</v>
      </c>
      <c r="I233" s="18">
        <f>4307.33+1175.43</f>
        <v>5482.76</v>
      </c>
      <c r="J233" s="18">
        <f>9045.13+202.47</f>
        <v>9247.5999999999985</v>
      </c>
      <c r="K233" s="18"/>
      <c r="L233" s="19">
        <f>SUM(F233:K233)</f>
        <v>1839354.57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24523.5</v>
      </c>
      <c r="G234" s="18">
        <v>8977.0400000000009</v>
      </c>
      <c r="H234" s="18">
        <f>118503.37-85327.86</f>
        <v>33175.509999999995</v>
      </c>
      <c r="I234" s="18">
        <v>586.52</v>
      </c>
      <c r="J234" s="18"/>
      <c r="K234" s="18"/>
      <c r="L234" s="19">
        <f>SUM(F234:K234)</f>
        <v>67262.569999999992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264702.51</v>
      </c>
      <c r="G235" s="18">
        <v>96896.66</v>
      </c>
      <c r="H235" s="18">
        <f>78766.65-60627.53</f>
        <v>18139.119999999995</v>
      </c>
      <c r="I235" s="18">
        <v>71191.350000000006</v>
      </c>
      <c r="J235" s="18">
        <v>10539.77</v>
      </c>
      <c r="K235" s="18">
        <v>13484</v>
      </c>
      <c r="L235" s="19">
        <f>SUM(F235:K235)</f>
        <v>474953.41000000003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534922.62+22200.48</f>
        <v>557123.1</v>
      </c>
      <c r="G237" s="18">
        <v>203939.77</v>
      </c>
      <c r="H237" s="18">
        <f>102838.16+34246.21+4608.86</f>
        <v>141693.22999999998</v>
      </c>
      <c r="I237" s="18">
        <v>7475.1</v>
      </c>
      <c r="J237" s="18">
        <v>0</v>
      </c>
      <c r="K237" s="18">
        <v>1100</v>
      </c>
      <c r="L237" s="19">
        <f t="shared" ref="L237:L243" si="4">SUM(F237:K237)</f>
        <v>911331.2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165748.66</v>
      </c>
      <c r="G238" s="18">
        <f>60673.74+1606.7+2404.47</f>
        <v>64684.909999999996</v>
      </c>
      <c r="H238" s="18">
        <f>4172.54+506.01</f>
        <v>4678.55</v>
      </c>
      <c r="I238" s="18">
        <f>33201.87+26974.84+49</f>
        <v>60225.710000000006</v>
      </c>
      <c r="J238" s="18">
        <f>24225.62+1936.09</f>
        <v>26161.71</v>
      </c>
      <c r="K238" s="18">
        <v>155</v>
      </c>
      <c r="L238" s="19">
        <f t="shared" si="4"/>
        <v>321654.54000000004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f>431018.27+9120+8348.43+2040+5706.24</f>
        <v>456232.94</v>
      </c>
      <c r="I239" s="18">
        <v>537.57000000000005</v>
      </c>
      <c r="J239" s="18"/>
      <c r="K239" s="18">
        <v>2951.76</v>
      </c>
      <c r="L239" s="19">
        <f t="shared" si="4"/>
        <v>459722.27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383484.8</v>
      </c>
      <c r="G240" s="18">
        <v>140377.96</v>
      </c>
      <c r="H240" s="18">
        <f>66376.93+548.22</f>
        <v>66925.149999999994</v>
      </c>
      <c r="I240" s="18">
        <v>3892.68</v>
      </c>
      <c r="J240" s="18">
        <v>0</v>
      </c>
      <c r="K240" s="18">
        <v>4565</v>
      </c>
      <c r="L240" s="19">
        <f t="shared" si="4"/>
        <v>599245.59000000008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242732.5</v>
      </c>
      <c r="G242" s="18">
        <v>88854.35</v>
      </c>
      <c r="H242" s="18">
        <f>145740.66+40769.25+2508.24+245+12725.96</f>
        <v>201989.11</v>
      </c>
      <c r="I242" s="18">
        <v>226681.77</v>
      </c>
      <c r="J242" s="18">
        <v>1723.37</v>
      </c>
      <c r="K242" s="18"/>
      <c r="L242" s="19">
        <f t="shared" si="4"/>
        <v>761981.1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362111.33+12346.85+60627.53+85327.86</f>
        <v>520413.56999999995</v>
      </c>
      <c r="I243" s="18">
        <v>48413.4</v>
      </c>
      <c r="J243" s="18"/>
      <c r="K243" s="18"/>
      <c r="L243" s="19">
        <f t="shared" si="4"/>
        <v>568826.97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5748082.2299999995</v>
      </c>
      <c r="G246" s="41">
        <f t="shared" si="5"/>
        <v>2115758.9699999997</v>
      </c>
      <c r="H246" s="41">
        <f t="shared" si="5"/>
        <v>1998371.2999999998</v>
      </c>
      <c r="I246" s="41">
        <f t="shared" si="5"/>
        <v>541511.44000000006</v>
      </c>
      <c r="J246" s="41">
        <f t="shared" si="5"/>
        <v>80374.359999999986</v>
      </c>
      <c r="K246" s="41">
        <f t="shared" si="5"/>
        <v>22500.7</v>
      </c>
      <c r="L246" s="41">
        <f t="shared" si="5"/>
        <v>10506599.000000002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/>
      <c r="H254" s="18"/>
      <c r="I254" s="18"/>
      <c r="J254" s="18">
        <f>11940</f>
        <v>11940</v>
      </c>
      <c r="K254" s="18"/>
      <c r="L254" s="19">
        <f t="shared" si="6"/>
        <v>11940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11940</v>
      </c>
      <c r="K255" s="41">
        <f t="shared" si="7"/>
        <v>0</v>
      </c>
      <c r="L255" s="41">
        <f>SUM(F255:K255)</f>
        <v>11940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8922938.2899999991</v>
      </c>
      <c r="G256" s="41">
        <f t="shared" si="8"/>
        <v>3276149.1499999994</v>
      </c>
      <c r="H256" s="41">
        <f t="shared" si="8"/>
        <v>3201140.38</v>
      </c>
      <c r="I256" s="41">
        <f t="shared" si="8"/>
        <v>825984.67000000016</v>
      </c>
      <c r="J256" s="41">
        <f t="shared" si="8"/>
        <v>140748.69999999998</v>
      </c>
      <c r="K256" s="41">
        <f t="shared" si="8"/>
        <v>24161.06</v>
      </c>
      <c r="L256" s="41">
        <f t="shared" si="8"/>
        <v>16391122.25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1001517.77</v>
      </c>
      <c r="L259" s="19">
        <f>SUM(F259:K259)</f>
        <v>1001517.77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892089.98</v>
      </c>
      <c r="L260" s="19">
        <f>SUM(F260:K260)</f>
        <v>892089.98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1893607.75</v>
      </c>
      <c r="L269" s="41">
        <f t="shared" si="9"/>
        <v>1893607.75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8922938.2899999991</v>
      </c>
      <c r="G270" s="42">
        <f t="shared" si="11"/>
        <v>3276149.1499999994</v>
      </c>
      <c r="H270" s="42">
        <f t="shared" si="11"/>
        <v>3201140.38</v>
      </c>
      <c r="I270" s="42">
        <f t="shared" si="11"/>
        <v>825984.67000000016</v>
      </c>
      <c r="J270" s="42">
        <f t="shared" si="11"/>
        <v>140748.69999999998</v>
      </c>
      <c r="K270" s="42">
        <f t="shared" si="11"/>
        <v>1917768.81</v>
      </c>
      <c r="L270" s="42">
        <f t="shared" si="11"/>
        <v>18284730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36313.769999999997</v>
      </c>
      <c r="G294" s="18">
        <v>213.78</v>
      </c>
      <c r="H294" s="18">
        <v>721.51</v>
      </c>
      <c r="I294" s="18">
        <v>1725.29</v>
      </c>
      <c r="J294" s="18">
        <v>10858.65</v>
      </c>
      <c r="K294" s="18"/>
      <c r="L294" s="19">
        <f>SUM(F294:K294)</f>
        <v>49833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58155.86</v>
      </c>
      <c r="G295" s="18"/>
      <c r="H295" s="18">
        <v>24288.61</v>
      </c>
      <c r="I295" s="18">
        <v>18371.13</v>
      </c>
      <c r="J295" s="18">
        <v>66.03</v>
      </c>
      <c r="K295" s="18"/>
      <c r="L295" s="19">
        <f>SUM(F295:K295)</f>
        <v>100881.63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>
        <v>6068.24</v>
      </c>
      <c r="I297" s="18">
        <v>619.08000000000004</v>
      </c>
      <c r="J297" s="18"/>
      <c r="K297" s="18"/>
      <c r="L297" s="19">
        <f>SUM(F297:K297)</f>
        <v>6687.32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3767.8</v>
      </c>
      <c r="I300" s="18"/>
      <c r="J300" s="18"/>
      <c r="K300" s="18"/>
      <c r="L300" s="19">
        <f t="shared" si="14"/>
        <v>3767.8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>
        <v>2595.14</v>
      </c>
      <c r="H302" s="18"/>
      <c r="I302" s="18"/>
      <c r="J302" s="18"/>
      <c r="K302" s="18"/>
      <c r="L302" s="19">
        <f t="shared" si="14"/>
        <v>2595.14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1327.6</v>
      </c>
      <c r="I305" s="18"/>
      <c r="J305" s="18"/>
      <c r="K305" s="18"/>
      <c r="L305" s="19">
        <f t="shared" si="14"/>
        <v>1327.6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94469.63</v>
      </c>
      <c r="G308" s="42">
        <f t="shared" si="15"/>
        <v>2808.92</v>
      </c>
      <c r="H308" s="42">
        <f t="shared" si="15"/>
        <v>36173.760000000002</v>
      </c>
      <c r="I308" s="42">
        <f t="shared" si="15"/>
        <v>20715.500000000004</v>
      </c>
      <c r="J308" s="42">
        <f t="shared" si="15"/>
        <v>10924.68</v>
      </c>
      <c r="K308" s="42">
        <f t="shared" si="15"/>
        <v>0</v>
      </c>
      <c r="L308" s="41">
        <f t="shared" si="15"/>
        <v>165092.49000000002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74199.210000000006</v>
      </c>
      <c r="G313" s="18">
        <v>436.81</v>
      </c>
      <c r="H313" s="18">
        <v>1474.26</v>
      </c>
      <c r="I313" s="18">
        <v>3525.25</v>
      </c>
      <c r="J313" s="18">
        <v>22187.25</v>
      </c>
      <c r="K313" s="18"/>
      <c r="L313" s="19">
        <f>SUM(F313:K313)</f>
        <v>101822.78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118828.72</v>
      </c>
      <c r="G314" s="18"/>
      <c r="H314" s="18">
        <f>49628.43-9922.66</f>
        <v>39705.770000000004</v>
      </c>
      <c r="I314" s="18">
        <v>37537.360000000001</v>
      </c>
      <c r="J314" s="18">
        <v>134.91</v>
      </c>
      <c r="K314" s="18"/>
      <c r="L314" s="19">
        <f>SUM(F314:K314)</f>
        <v>196206.75999999998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>
        <v>12399.11</v>
      </c>
      <c r="I316" s="18">
        <v>1264.94</v>
      </c>
      <c r="J316" s="18"/>
      <c r="K316" s="18"/>
      <c r="L316" s="19">
        <f>SUM(F316:K316)</f>
        <v>13664.050000000001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7698.68</v>
      </c>
      <c r="I319" s="18"/>
      <c r="J319" s="18"/>
      <c r="K319" s="18"/>
      <c r="L319" s="19">
        <f t="shared" si="16"/>
        <v>7698.68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>
        <v>5302.59</v>
      </c>
      <c r="H321" s="18"/>
      <c r="I321" s="18"/>
      <c r="J321" s="18"/>
      <c r="K321" s="18"/>
      <c r="L321" s="19">
        <f t="shared" si="16"/>
        <v>5302.59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2712.65</v>
      </c>
      <c r="I324" s="18"/>
      <c r="J324" s="18"/>
      <c r="K324" s="18"/>
      <c r="L324" s="19">
        <f t="shared" si="16"/>
        <v>2712.65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193027.93</v>
      </c>
      <c r="G327" s="42">
        <f t="shared" si="17"/>
        <v>5739.4000000000005</v>
      </c>
      <c r="H327" s="42">
        <f t="shared" si="17"/>
        <v>63990.470000000008</v>
      </c>
      <c r="I327" s="42">
        <f t="shared" si="17"/>
        <v>42327.55</v>
      </c>
      <c r="J327" s="42">
        <f t="shared" si="17"/>
        <v>22322.16</v>
      </c>
      <c r="K327" s="42">
        <f t="shared" si="17"/>
        <v>0</v>
      </c>
      <c r="L327" s="41">
        <f t="shared" si="17"/>
        <v>327407.51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287497.56</v>
      </c>
      <c r="G337" s="41">
        <f t="shared" si="20"/>
        <v>8548.32</v>
      </c>
      <c r="H337" s="41">
        <f t="shared" si="20"/>
        <v>100164.23000000001</v>
      </c>
      <c r="I337" s="41">
        <f t="shared" si="20"/>
        <v>63043.05</v>
      </c>
      <c r="J337" s="41">
        <f t="shared" si="20"/>
        <v>33246.839999999997</v>
      </c>
      <c r="K337" s="41">
        <f t="shared" si="20"/>
        <v>0</v>
      </c>
      <c r="L337" s="41">
        <f t="shared" si="20"/>
        <v>492500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287497.56</v>
      </c>
      <c r="G351" s="41">
        <f>G337</f>
        <v>8548.32</v>
      </c>
      <c r="H351" s="41">
        <f>H337</f>
        <v>100164.23000000001</v>
      </c>
      <c r="I351" s="41">
        <f>I337</f>
        <v>63043.05</v>
      </c>
      <c r="J351" s="41">
        <f>J337</f>
        <v>33246.839999999997</v>
      </c>
      <c r="K351" s="47">
        <f>K337+K350</f>
        <v>0</v>
      </c>
      <c r="L351" s="41">
        <f>L337+L350</f>
        <v>492500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58182.09</v>
      </c>
      <c r="G358" s="18">
        <f>6780.8+10878.5+0.47-1</f>
        <v>17658.77</v>
      </c>
      <c r="H358" s="18">
        <v>621.29</v>
      </c>
      <c r="I358" s="18">
        <v>82827.14</v>
      </c>
      <c r="J358" s="18">
        <v>8305.2900000000009</v>
      </c>
      <c r="K358" s="18"/>
      <c r="L358" s="19">
        <f>SUM(F358:K358)</f>
        <v>167594.57999999999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110956.61</v>
      </c>
      <c r="G359" s="18">
        <f>12931.38+10878.5</f>
        <v>23809.879999999997</v>
      </c>
      <c r="H359" s="18">
        <f>2103.59+471.24</f>
        <v>2574.83</v>
      </c>
      <c r="I359" s="18">
        <v>188062.13</v>
      </c>
      <c r="J359" s="18">
        <v>6764.97</v>
      </c>
      <c r="K359" s="18"/>
      <c r="L359" s="19">
        <f>SUM(F359:K359)</f>
        <v>332168.41999999993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169138.7</v>
      </c>
      <c r="G361" s="47">
        <f t="shared" si="22"/>
        <v>41468.649999999994</v>
      </c>
      <c r="H361" s="47">
        <f t="shared" si="22"/>
        <v>3196.12</v>
      </c>
      <c r="I361" s="47">
        <f t="shared" si="22"/>
        <v>270889.27</v>
      </c>
      <c r="J361" s="47">
        <f t="shared" si="22"/>
        <v>15070.260000000002</v>
      </c>
      <c r="K361" s="47">
        <f t="shared" si="22"/>
        <v>0</v>
      </c>
      <c r="L361" s="47">
        <f t="shared" si="22"/>
        <v>499762.99999999988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thickBo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>
        <v>75786.5</v>
      </c>
      <c r="H366" s="63">
        <v>170954.15</v>
      </c>
      <c r="I366" s="56">
        <f>SUM(F366:H366)</f>
        <v>246740.65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Top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>
        <v>7040.64</v>
      </c>
      <c r="H367" s="63">
        <v>17107.98</v>
      </c>
      <c r="I367" s="56">
        <f>SUM(F367:H367)</f>
        <v>24148.62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82827.14</v>
      </c>
      <c r="H368" s="47">
        <f>SUM(H366:H367)</f>
        <v>188062.13</v>
      </c>
      <c r="I368" s="47">
        <f>SUM(I366:I367)</f>
        <v>270889.27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216642</v>
      </c>
      <c r="G464" s="18">
        <v>202013</v>
      </c>
      <c r="H464" s="18">
        <v>48210</v>
      </c>
      <c r="I464" s="18"/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18348798</v>
      </c>
      <c r="G467" s="18">
        <f t="shared" ref="G467" si="35">G192</f>
        <v>526395</v>
      </c>
      <c r="H467" s="18">
        <f>606875+1003</f>
        <v>607878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18348798</v>
      </c>
      <c r="G469" s="53">
        <f>SUM(G467:G468)</f>
        <v>526395</v>
      </c>
      <c r="H469" s="53">
        <f>SUM(H467:H468)</f>
        <v>607878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18284730</v>
      </c>
      <c r="G471" s="18">
        <f>L361</f>
        <v>499762.99999999988</v>
      </c>
      <c r="H471" s="18">
        <v>492500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18284730</v>
      </c>
      <c r="G473" s="53">
        <f>SUM(G471:G472)</f>
        <v>499762.99999999988</v>
      </c>
      <c r="H473" s="53">
        <f>SUM(H471:H472)</f>
        <v>492500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280710</v>
      </c>
      <c r="G475" s="53">
        <f>(G464+G469)- G473</f>
        <v>228645.00000000012</v>
      </c>
      <c r="H475" s="53">
        <f>(H464+H469)- H473</f>
        <v>163588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15</v>
      </c>
      <c r="I489" s="154">
        <v>20</v>
      </c>
      <c r="J489" s="154">
        <v>20</v>
      </c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 t="s">
        <v>912</v>
      </c>
      <c r="I490" s="155" t="s">
        <v>913</v>
      </c>
      <c r="J490" s="155" t="s">
        <v>918</v>
      </c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 t="s">
        <v>915</v>
      </c>
      <c r="H491" s="155" t="s">
        <v>916</v>
      </c>
      <c r="I491" s="155" t="s">
        <v>917</v>
      </c>
      <c r="J491" s="155" t="s">
        <v>917</v>
      </c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7703400</v>
      </c>
      <c r="G492" s="18">
        <v>650000</v>
      </c>
      <c r="H492" s="18">
        <v>3200000</v>
      </c>
      <c r="I492" s="18">
        <v>8100000</v>
      </c>
      <c r="J492" s="18">
        <v>2700000</v>
      </c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>
        <v>4.25</v>
      </c>
      <c r="H493" s="18">
        <v>5.2</v>
      </c>
      <c r="I493" s="18">
        <v>5.71</v>
      </c>
      <c r="J493" s="18">
        <v>5.71</v>
      </c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310000</v>
      </c>
      <c r="G494" s="18">
        <v>150000</v>
      </c>
      <c r="H494" s="18">
        <v>787673</v>
      </c>
      <c r="I494" s="18">
        <v>1502984</v>
      </c>
      <c r="J494" s="18">
        <v>1305000</v>
      </c>
      <c r="K494" s="53">
        <f>SUM(F494:J494)</f>
        <v>4055657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6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310000</v>
      </c>
      <c r="G496" s="18">
        <v>75000</v>
      </c>
      <c r="H496" s="18">
        <v>174787</v>
      </c>
      <c r="I496" s="18">
        <v>276730</v>
      </c>
      <c r="J496" s="18">
        <v>165000</v>
      </c>
      <c r="K496" s="53">
        <f t="shared" si="36"/>
        <v>1001517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5820000</v>
      </c>
      <c r="G497" s="205">
        <v>75000</v>
      </c>
      <c r="H497" s="205">
        <f>H494-H496</f>
        <v>612886</v>
      </c>
      <c r="I497" s="205">
        <v>1216254</v>
      </c>
      <c r="J497" s="205">
        <f>J494-J496</f>
        <v>1140000</v>
      </c>
      <c r="K497" s="206">
        <f t="shared" si="36"/>
        <v>8864140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2004746</v>
      </c>
      <c r="G498" s="18">
        <v>3188</v>
      </c>
      <c r="H498" s="18">
        <v>611933</v>
      </c>
      <c r="I498" s="18">
        <v>2183078</v>
      </c>
      <c r="J498" s="18">
        <v>148206</v>
      </c>
      <c r="K498" s="53">
        <f t="shared" si="36"/>
        <v>4951151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7824746</v>
      </c>
      <c r="G499" s="42">
        <f>SUM(G497:G498)</f>
        <v>78188</v>
      </c>
      <c r="H499" s="42">
        <f>SUM(H497:H498)</f>
        <v>1224819</v>
      </c>
      <c r="I499" s="42">
        <f>SUM(I497:I498)</f>
        <v>3399332</v>
      </c>
      <c r="J499" s="42">
        <f>SUM(J497:J498)</f>
        <v>1288206</v>
      </c>
      <c r="K499" s="42">
        <f t="shared" si="36"/>
        <v>13815291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325000</v>
      </c>
      <c r="G500" s="205">
        <v>75000</v>
      </c>
      <c r="H500" s="205">
        <v>164516</v>
      </c>
      <c r="I500" s="205">
        <v>271313</v>
      </c>
      <c r="J500" s="205">
        <v>175000</v>
      </c>
      <c r="K500" s="206">
        <f t="shared" si="36"/>
        <v>1010829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273159</v>
      </c>
      <c r="G501" s="18">
        <v>3188</v>
      </c>
      <c r="H501" s="18">
        <v>141751</v>
      </c>
      <c r="I501" s="18">
        <v>408506</v>
      </c>
      <c r="J501" s="18">
        <v>51606</v>
      </c>
      <c r="K501" s="53">
        <f t="shared" si="36"/>
        <v>878210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598159</v>
      </c>
      <c r="G502" s="42">
        <f>SUM(G500:G501)</f>
        <v>78188</v>
      </c>
      <c r="H502" s="42">
        <f>SUM(H500:H501)</f>
        <v>306267</v>
      </c>
      <c r="I502" s="42">
        <f>SUM(I500:I501)</f>
        <v>679819</v>
      </c>
      <c r="J502" s="42">
        <f>SUM(J500:J501)</f>
        <v>226606</v>
      </c>
      <c r="K502" s="42">
        <f t="shared" si="36"/>
        <v>1889039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18468</v>
      </c>
      <c r="G506" s="144"/>
      <c r="H506" s="144">
        <v>80</v>
      </c>
      <c r="I506" s="144">
        <v>18388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532826.63+88492.29</f>
        <v>621318.92000000004</v>
      </c>
      <c r="G521" s="18">
        <v>88450.34</v>
      </c>
      <c r="H521" s="18">
        <f>377064.74+46658.52</f>
        <v>423723.26</v>
      </c>
      <c r="I521" s="18">
        <f>1423.23+27954.25</f>
        <v>29377.48</v>
      </c>
      <c r="J521" s="18">
        <f>100.47+19652.13</f>
        <v>19752.600000000002</v>
      </c>
      <c r="K521" s="18"/>
      <c r="L521" s="88">
        <f>SUM(F521:K521)</f>
        <v>1182622.6000000001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926730.87+88492.29</f>
        <v>1015223.16</v>
      </c>
      <c r="G522" s="18">
        <v>184190.5</v>
      </c>
      <c r="H522" s="18">
        <f>537484+46658.52</f>
        <v>584142.52</v>
      </c>
      <c r="I522" s="18">
        <f>5522.76+27954.25</f>
        <v>33477.01</v>
      </c>
      <c r="J522" s="18">
        <f>100.47+9188.97</f>
        <v>9289.4399999999987</v>
      </c>
      <c r="K522" s="18"/>
      <c r="L522" s="88">
        <f>SUM(F522:K522)</f>
        <v>1826322.6300000001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1636542.08</v>
      </c>
      <c r="G523" s="108">
        <f t="shared" ref="G523:L523" si="37">SUM(G520:G522)</f>
        <v>272640.83999999997</v>
      </c>
      <c r="H523" s="108">
        <f t="shared" si="37"/>
        <v>1007865.78</v>
      </c>
      <c r="I523" s="108">
        <f t="shared" si="37"/>
        <v>62854.490000000005</v>
      </c>
      <c r="J523" s="108">
        <f t="shared" si="37"/>
        <v>29042.04</v>
      </c>
      <c r="K523" s="108">
        <f t="shared" si="37"/>
        <v>0</v>
      </c>
      <c r="L523" s="89">
        <f t="shared" si="37"/>
        <v>3008945.2300000004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71948.81</v>
      </c>
      <c r="G526" s="18">
        <v>10242.75</v>
      </c>
      <c r="H526" s="18">
        <f>5188+26863.52+5737.25+55391.51+2565.37</f>
        <v>95745.65</v>
      </c>
      <c r="I526" s="18">
        <v>1019.71</v>
      </c>
      <c r="J526" s="18"/>
      <c r="K526" s="18"/>
      <c r="L526" s="88">
        <f>SUM(F526:K526)</f>
        <v>178956.91999999998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1053.22+107801.23</f>
        <v>108854.45</v>
      </c>
      <c r="G527" s="18">
        <v>19749.23</v>
      </c>
      <c r="H527" s="18">
        <f>5188+80.47+57808+42635.16+2565.37</f>
        <v>108277</v>
      </c>
      <c r="I527" s="18">
        <v>1158.78</v>
      </c>
      <c r="J527" s="18"/>
      <c r="K527" s="18"/>
      <c r="L527" s="88">
        <f>SUM(F527:K527)</f>
        <v>238039.46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180803.26</v>
      </c>
      <c r="G528" s="89">
        <f t="shared" ref="G528:L528" si="38">SUM(G525:G527)</f>
        <v>29991.98</v>
      </c>
      <c r="H528" s="89">
        <f t="shared" si="38"/>
        <v>204022.65</v>
      </c>
      <c r="I528" s="89">
        <f t="shared" si="38"/>
        <v>2178.4899999999998</v>
      </c>
      <c r="J528" s="89">
        <f t="shared" si="38"/>
        <v>0</v>
      </c>
      <c r="K528" s="89">
        <f t="shared" si="38"/>
        <v>0</v>
      </c>
      <c r="L528" s="89">
        <f t="shared" si="38"/>
        <v>416996.38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26109.73</v>
      </c>
      <c r="G531" s="18">
        <f>4313/2</f>
        <v>2156.5</v>
      </c>
      <c r="H531" s="18">
        <v>3600.67</v>
      </c>
      <c r="I531" s="18"/>
      <c r="J531" s="18"/>
      <c r="K531" s="18"/>
      <c r="L531" s="88">
        <f>SUM(F531:K531)</f>
        <v>31866.9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52219.45/2</f>
        <v>26109.724999999999</v>
      </c>
      <c r="G532" s="18">
        <v>2156</v>
      </c>
      <c r="H532" s="18">
        <v>3600.67</v>
      </c>
      <c r="I532" s="18"/>
      <c r="J532" s="18"/>
      <c r="K532" s="18"/>
      <c r="L532" s="88">
        <f>SUM(F532:K532)</f>
        <v>31866.394999999997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52219.455000000002</v>
      </c>
      <c r="G533" s="89">
        <f t="shared" ref="G533:L533" si="39">SUM(G530:G532)</f>
        <v>4312.5</v>
      </c>
      <c r="H533" s="89">
        <f t="shared" si="39"/>
        <v>7201.34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63733.294999999998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2194.52</v>
      </c>
      <c r="I536" s="18"/>
      <c r="J536" s="18"/>
      <c r="K536" s="18"/>
      <c r="L536" s="88">
        <f>SUM(F536:K536)</f>
        <v>2194.52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2194.52</v>
      </c>
      <c r="I537" s="18"/>
      <c r="J537" s="18"/>
      <c r="K537" s="18"/>
      <c r="L537" s="88">
        <f>SUM(F537:K537)</f>
        <v>2194.52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4389.04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4389.04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153192.84</v>
      </c>
      <c r="I541" s="18">
        <v>20200.98</v>
      </c>
      <c r="J541" s="18"/>
      <c r="K541" s="18"/>
      <c r="L541" s="88">
        <f>SUM(F541:K541)</f>
        <v>173393.82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197817.94</v>
      </c>
      <c r="I542" s="18">
        <f>48413.4*0.50519+132.88</f>
        <v>24590.845546000004</v>
      </c>
      <c r="J542" s="18"/>
      <c r="K542" s="18"/>
      <c r="L542" s="88">
        <f>SUM(F542:K542)</f>
        <v>222408.785546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1">SUM(G540:G542)</f>
        <v>0</v>
      </c>
      <c r="H543" s="194">
        <f t="shared" si="41"/>
        <v>351010.78</v>
      </c>
      <c r="I543" s="194">
        <f t="shared" si="41"/>
        <v>44791.825546000007</v>
      </c>
      <c r="J543" s="194">
        <f t="shared" si="41"/>
        <v>0</v>
      </c>
      <c r="K543" s="194">
        <f t="shared" si="41"/>
        <v>0</v>
      </c>
      <c r="L543" s="194">
        <f t="shared" si="41"/>
        <v>395802.60554600001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1869564.7950000002</v>
      </c>
      <c r="G544" s="89">
        <f t="shared" ref="G544:L544" si="42">G523+G528+G533+G538+G543</f>
        <v>306945.31999999995</v>
      </c>
      <c r="H544" s="89">
        <f t="shared" si="42"/>
        <v>1574489.59</v>
      </c>
      <c r="I544" s="89">
        <f t="shared" si="42"/>
        <v>109824.80554600002</v>
      </c>
      <c r="J544" s="89">
        <f t="shared" si="42"/>
        <v>29042.04</v>
      </c>
      <c r="K544" s="89">
        <f t="shared" si="42"/>
        <v>0</v>
      </c>
      <c r="L544" s="89">
        <f t="shared" si="42"/>
        <v>3889866.5505460002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1182622.6000000001</v>
      </c>
      <c r="G549" s="87">
        <f>L526</f>
        <v>178956.91999999998</v>
      </c>
      <c r="H549" s="87">
        <f>L531</f>
        <v>31866.9</v>
      </c>
      <c r="I549" s="87">
        <f>L536</f>
        <v>2194.52</v>
      </c>
      <c r="J549" s="87">
        <f>L541</f>
        <v>173393.82</v>
      </c>
      <c r="K549" s="87">
        <f>SUM(F549:J549)</f>
        <v>1569034.76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1826322.6300000001</v>
      </c>
      <c r="G550" s="87">
        <f>L527</f>
        <v>238039.46</v>
      </c>
      <c r="H550" s="87">
        <f>L532</f>
        <v>31866.394999999997</v>
      </c>
      <c r="I550" s="87">
        <f>L537</f>
        <v>2194.52</v>
      </c>
      <c r="J550" s="87">
        <f>L542</f>
        <v>222408.785546</v>
      </c>
      <c r="K550" s="87">
        <f>SUM(F550:J550)</f>
        <v>2320831.790546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3008945.2300000004</v>
      </c>
      <c r="G551" s="89">
        <f t="shared" si="43"/>
        <v>416996.38</v>
      </c>
      <c r="H551" s="89">
        <f t="shared" si="43"/>
        <v>63733.294999999998</v>
      </c>
      <c r="I551" s="89">
        <f t="shared" si="43"/>
        <v>4389.04</v>
      </c>
      <c r="J551" s="89">
        <f t="shared" si="43"/>
        <v>395802.60554600001</v>
      </c>
      <c r="K551" s="89">
        <f t="shared" si="43"/>
        <v>3889866.5505459998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6">SUM(G566:G568)</f>
        <v>0</v>
      </c>
      <c r="H569" s="194">
        <f t="shared" si="46"/>
        <v>0</v>
      </c>
      <c r="I569" s="194">
        <f t="shared" si="46"/>
        <v>0</v>
      </c>
      <c r="J569" s="194">
        <f t="shared" si="46"/>
        <v>0</v>
      </c>
      <c r="K569" s="194">
        <f t="shared" si="46"/>
        <v>0</v>
      </c>
      <c r="L569" s="194">
        <f t="shared" si="46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12901.43</v>
      </c>
      <c r="I574" s="87">
        <f>SUM(F574:H574)</f>
        <v>12901.43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277768.33</v>
      </c>
      <c r="H581" s="18">
        <v>286053.95</v>
      </c>
      <c r="I581" s="87">
        <f t="shared" si="48"/>
        <v>563822.28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57329.8</v>
      </c>
      <c r="I582" s="87">
        <f t="shared" si="48"/>
        <v>57329.8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f>177877.04+24002.64</f>
        <v>201879.67999999999</v>
      </c>
      <c r="J590" s="18">
        <f>23821.55+179174.24+1</f>
        <v>202996.78999999998</v>
      </c>
      <c r="K590" s="104">
        <f t="shared" ref="K590:K596" si="49">SUM(H590:J590)</f>
        <v>404876.47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f>149703.99+20200.98+1982.6</f>
        <v>171887.57</v>
      </c>
      <c r="J591" s="18">
        <f>24591.85+182937.09+12345.85</f>
        <v>219874.79</v>
      </c>
      <c r="K591" s="104">
        <f t="shared" si="49"/>
        <v>391762.36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85327.86</v>
      </c>
      <c r="K592" s="104">
        <f t="shared" si="49"/>
        <v>85327.86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6866.85</v>
      </c>
      <c r="J593" s="18">
        <v>60627.53</v>
      </c>
      <c r="K593" s="104">
        <f t="shared" si="49"/>
        <v>67494.38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380634.1</v>
      </c>
      <c r="J597" s="108">
        <f>SUM(J590:J596)</f>
        <v>568826.97</v>
      </c>
      <c r="K597" s="108">
        <f>SUM(K590:K596)</f>
        <v>949461.07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>
        <v>11940</v>
      </c>
      <c r="K601" s="104">
        <f>SUM(H601:J601)</f>
        <v>11940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>
        <f>48434.34+10775.29</f>
        <v>59209.63</v>
      </c>
      <c r="J603" s="18">
        <f>77610.8+6764.97+3766.58+2763.56</f>
        <v>90905.91</v>
      </c>
      <c r="K603" s="104">
        <f>SUM(H603:J603)</f>
        <v>150115.54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59209.63</v>
      </c>
      <c r="J604" s="108">
        <f>SUM(J601:J603)</f>
        <v>102845.91</v>
      </c>
      <c r="K604" s="108">
        <f>SUM(K601:K603)</f>
        <v>162055.54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554352</v>
      </c>
      <c r="H616" s="109">
        <f>SUM(F51)</f>
        <v>554352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247390</v>
      </c>
      <c r="H617" s="109">
        <f>SUM(G51)</f>
        <v>247390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328514</v>
      </c>
      <c r="H618" s="109">
        <f>SUM(H51)</f>
        <v>328514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280710</v>
      </c>
      <c r="H621" s="109">
        <f>F475</f>
        <v>280710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228645</v>
      </c>
      <c r="H622" s="109">
        <f>G475</f>
        <v>228645.00000000012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163588</v>
      </c>
      <c r="H623" s="109">
        <f>H475</f>
        <v>163588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18348798</v>
      </c>
      <c r="H626" s="104">
        <f>SUM(F467)</f>
        <v>18348798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526395</v>
      </c>
      <c r="H627" s="104">
        <f>SUM(G467)</f>
        <v>526395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607878</v>
      </c>
      <c r="H628" s="104">
        <f>SUM(H467)</f>
        <v>607878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18284730</v>
      </c>
      <c r="H631" s="104">
        <f>SUM(F471)</f>
        <v>18284730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492500</v>
      </c>
      <c r="H632" s="104">
        <f>SUM(H471)</f>
        <v>492500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270889.27</v>
      </c>
      <c r="H633" s="104">
        <f>I368</f>
        <v>270889.27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499762.99999999988</v>
      </c>
      <c r="H634" s="104">
        <f>SUM(G471)</f>
        <v>499762.99999999988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1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1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1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1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949461.07</v>
      </c>
      <c r="H646" s="104">
        <f>L207+L225+L243</f>
        <v>949461.07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162055.54</v>
      </c>
      <c r="H647" s="104">
        <f>(J256+J337)-(J254+J335)</f>
        <v>162055.53999999998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380634.1</v>
      </c>
      <c r="H649" s="104">
        <f>I597</f>
        <v>380634.1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568826.97</v>
      </c>
      <c r="H650" s="104">
        <f>J597</f>
        <v>568826.97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0</v>
      </c>
      <c r="G659" s="19">
        <f>(L228+L308+L358)</f>
        <v>6205270.3199999984</v>
      </c>
      <c r="H659" s="19">
        <f>(L246+L327+L359)</f>
        <v>11166174.930000002</v>
      </c>
      <c r="I659" s="19">
        <f>SUM(F659:H659)</f>
        <v>17371445.25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155898.64379291786</v>
      </c>
      <c r="H660" s="19">
        <f>(L359/IF(SUM(L357:L359)=0,1,SUM(L357:L359))*(SUM(G96:G109)))</f>
        <v>308987.35620708216</v>
      </c>
      <c r="I660" s="19">
        <f>SUM(F660:H660)</f>
        <v>464886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0</v>
      </c>
      <c r="G661" s="19">
        <f>(L225+L305)-(J225+J305)</f>
        <v>381961.69999999995</v>
      </c>
      <c r="H661" s="19">
        <f>(L243+L324)-(J243+J324)</f>
        <v>571539.62</v>
      </c>
      <c r="I661" s="19">
        <f>SUM(F661:H661)</f>
        <v>953501.32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336977.96</v>
      </c>
      <c r="H662" s="200">
        <f>SUM(H574:H586)+SUM(J601:J603)+L612</f>
        <v>459131.08999999997</v>
      </c>
      <c r="I662" s="19">
        <f>SUM(F662:H662)</f>
        <v>796109.05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0</v>
      </c>
      <c r="G663" s="19">
        <f>G659-SUM(G660:G662)</f>
        <v>5330432.0162070803</v>
      </c>
      <c r="H663" s="19">
        <f>H659-SUM(H660:H662)</f>
        <v>9826516.8637929186</v>
      </c>
      <c r="I663" s="19">
        <f>I659-SUM(I660:I662)</f>
        <v>15156948.879999999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>
        <v>438.77</v>
      </c>
      <c r="H664" s="249">
        <v>896.82</v>
      </c>
      <c r="I664" s="19">
        <f>SUM(F664:H664)</f>
        <v>1335.5900000000001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>
        <f>ROUND(G663/G664,2)</f>
        <v>12148.58</v>
      </c>
      <c r="H666" s="19">
        <f>ROUND(H663/H664,2)</f>
        <v>10957.07</v>
      </c>
      <c r="I666" s="19">
        <f>ROUND(I663/I664,2)</f>
        <v>11348.5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-11.93</v>
      </c>
      <c r="I669" s="19">
        <f>SUM(F669:H669)</f>
        <v>-11.93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>
        <f>ROUND((G663+G668)/(G664+G669),2)</f>
        <v>12148.58</v>
      </c>
      <c r="H671" s="19">
        <f>ROUND((H663+H668)/(H664+H669),2)</f>
        <v>11104.79</v>
      </c>
      <c r="I671" s="19">
        <f>ROUND((I663+I668)/(I664+I669),2)</f>
        <v>11450.79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D26" sqref="D26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Hollis Brookline Cooperative</v>
      </c>
      <c r="C1" s="239" t="s">
        <v>839</v>
      </c>
    </row>
    <row r="2" spans="1:3">
      <c r="A2" s="234"/>
      <c r="B2" s="233"/>
    </row>
    <row r="3" spans="1:3">
      <c r="A3" s="278" t="s">
        <v>784</v>
      </c>
      <c r="B3" s="278"/>
      <c r="C3" s="278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7" t="s">
        <v>783</v>
      </c>
      <c r="C6" s="277"/>
    </row>
    <row r="7" spans="1:3">
      <c r="A7" s="240" t="s">
        <v>786</v>
      </c>
      <c r="B7" s="275" t="s">
        <v>782</v>
      </c>
      <c r="C7" s="276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5072606.9899999993</v>
      </c>
      <c r="C9" s="230">
        <f>'DOE25'!G196+'DOE25'!G214+'DOE25'!G232+'DOE25'!G275+'DOE25'!G294+'DOE25'!G313</f>
        <v>1826982.47</v>
      </c>
    </row>
    <row r="10" spans="1:3">
      <c r="A10" t="s">
        <v>779</v>
      </c>
      <c r="B10" s="241">
        <f>4939511.26+930</f>
        <v>4940441.26</v>
      </c>
      <c r="C10" s="271">
        <v>1779380.8181628343</v>
      </c>
    </row>
    <row r="11" spans="1:3">
      <c r="A11" t="s">
        <v>780</v>
      </c>
      <c r="B11" s="241"/>
      <c r="C11" s="271"/>
    </row>
    <row r="12" spans="1:3">
      <c r="A12" t="s">
        <v>781</v>
      </c>
      <c r="B12" s="241">
        <f>120706.93+11458.8</f>
        <v>132165.72999999998</v>
      </c>
      <c r="C12" s="271">
        <v>47601.6518371657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5072606.99</v>
      </c>
      <c r="C13" s="232">
        <f>SUM(C10:C12)</f>
        <v>1826982.47</v>
      </c>
    </row>
    <row r="14" spans="1:3">
      <c r="B14" s="231"/>
      <c r="C14" s="231"/>
    </row>
    <row r="15" spans="1:3">
      <c r="B15" s="277" t="s">
        <v>783</v>
      </c>
      <c r="C15" s="277"/>
    </row>
    <row r="16" spans="1:3">
      <c r="A16" s="240" t="s">
        <v>787</v>
      </c>
      <c r="B16" s="275" t="s">
        <v>707</v>
      </c>
      <c r="C16" s="276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1657478.3900000001</v>
      </c>
      <c r="C18" s="230">
        <f>'DOE25'!G197+'DOE25'!G215+'DOE25'!G233+'DOE25'!G276+'DOE25'!G295+'DOE25'!G314</f>
        <v>540346.76</v>
      </c>
    </row>
    <row r="19" spans="1:3">
      <c r="A19" t="s">
        <v>779</v>
      </c>
      <c r="B19" s="241">
        <v>984176.27</v>
      </c>
      <c r="C19" s="272">
        <v>320846.692163139</v>
      </c>
    </row>
    <row r="20" spans="1:3">
      <c r="A20" t="s">
        <v>780</v>
      </c>
      <c r="B20" s="241">
        <v>641360.67000000004</v>
      </c>
      <c r="C20" s="272">
        <v>209086.98545742681</v>
      </c>
    </row>
    <row r="21" spans="1:3">
      <c r="A21" t="s">
        <v>781</v>
      </c>
      <c r="B21" s="241">
        <f>B18-B19-B20</f>
        <v>31941.45000000007</v>
      </c>
      <c r="C21" s="272">
        <v>10413.082379434243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1657478.3900000001</v>
      </c>
      <c r="C22" s="232">
        <f>SUM(C19:C21)</f>
        <v>540346.76</v>
      </c>
    </row>
    <row r="23" spans="1:3">
      <c r="B23" s="231"/>
      <c r="C23" s="231"/>
    </row>
    <row r="24" spans="1:3">
      <c r="B24" s="277" t="s">
        <v>783</v>
      </c>
      <c r="C24" s="277"/>
    </row>
    <row r="25" spans="1:3">
      <c r="A25" s="240" t="s">
        <v>788</v>
      </c>
      <c r="B25" s="275" t="s">
        <v>708</v>
      </c>
      <c r="C25" s="276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24523.5</v>
      </c>
      <c r="C27" s="235">
        <f>'DOE25'!G198+'DOE25'!G216+'DOE25'!G234+'DOE25'!G277+'DOE25'!G296+'DOE25'!G315</f>
        <v>8977.0400000000009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>
        <v>24523.5</v>
      </c>
      <c r="C30" s="273">
        <v>8977.0400000000009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24523.5</v>
      </c>
      <c r="C31" s="232">
        <f>SUM(C28:C30)</f>
        <v>8977.0400000000009</v>
      </c>
    </row>
    <row r="33" spans="1:3">
      <c r="B33" s="277" t="s">
        <v>783</v>
      </c>
      <c r="C33" s="277"/>
    </row>
    <row r="34" spans="1:3">
      <c r="A34" s="240" t="s">
        <v>789</v>
      </c>
      <c r="B34" s="275" t="s">
        <v>709</v>
      </c>
      <c r="C34" s="276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312530.51</v>
      </c>
      <c r="C36" s="236">
        <f>'DOE25'!G199+'DOE25'!G217+'DOE25'!G235+'DOE25'!G278+'DOE25'!G297+'DOE25'!G316</f>
        <v>114262.82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312530.51</v>
      </c>
      <c r="C39" s="274">
        <v>114262.82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312530.51</v>
      </c>
      <c r="C40" s="232">
        <f>SUM(C37:C39)</f>
        <v>114262.82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37" sqref="E3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>
      <c r="A2" s="33" t="s">
        <v>717</v>
      </c>
      <c r="B2" s="266" t="str">
        <f>'DOE25'!A2</f>
        <v>Hollis Brookline Cooperative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10652039.43</v>
      </c>
      <c r="D5" s="20">
        <f>SUM('DOE25'!L196:L199)+SUM('DOE25'!L214:L217)+SUM('DOE25'!L232:L235)-F5-G5</f>
        <v>10539433.07</v>
      </c>
      <c r="E5" s="244"/>
      <c r="F5" s="256">
        <f>SUM('DOE25'!J196:J199)+SUM('DOE25'!J214:J217)+SUM('DOE25'!J232:J235)</f>
        <v>98877.42</v>
      </c>
      <c r="G5" s="53">
        <f>SUM('DOE25'!K196:K199)+SUM('DOE25'!K214:K217)+SUM('DOE25'!K232:K235)</f>
        <v>13728.94</v>
      </c>
      <c r="H5" s="260"/>
    </row>
    <row r="6" spans="1:9">
      <c r="A6" s="32">
        <v>2100</v>
      </c>
      <c r="B6" t="s">
        <v>801</v>
      </c>
      <c r="C6" s="246">
        <f t="shared" si="0"/>
        <v>1401211.79</v>
      </c>
      <c r="D6" s="20">
        <f>'DOE25'!L201+'DOE25'!L219+'DOE25'!L237-F6-G6</f>
        <v>1400111.79</v>
      </c>
      <c r="E6" s="244"/>
      <c r="F6" s="256">
        <f>'DOE25'!J201+'DOE25'!J219+'DOE25'!J237</f>
        <v>0</v>
      </c>
      <c r="G6" s="53">
        <f>'DOE25'!K201+'DOE25'!K219+'DOE25'!K237</f>
        <v>1100</v>
      </c>
      <c r="H6" s="260"/>
    </row>
    <row r="7" spans="1:9">
      <c r="A7" s="32">
        <v>2200</v>
      </c>
      <c r="B7" t="s">
        <v>834</v>
      </c>
      <c r="C7" s="246">
        <f t="shared" si="0"/>
        <v>434382.25000000006</v>
      </c>
      <c r="D7" s="20">
        <f>'DOE25'!L202+'DOE25'!L220+'DOE25'!L238-F7-G7</f>
        <v>406740.82000000007</v>
      </c>
      <c r="E7" s="244"/>
      <c r="F7" s="256">
        <f>'DOE25'!J202+'DOE25'!J220+'DOE25'!J238</f>
        <v>27486.43</v>
      </c>
      <c r="G7" s="53">
        <f>'DOE25'!K202+'DOE25'!K220+'DOE25'!K238</f>
        <v>155</v>
      </c>
      <c r="H7" s="260"/>
    </row>
    <row r="8" spans="1:9">
      <c r="A8" s="32">
        <v>2300</v>
      </c>
      <c r="B8" t="s">
        <v>802</v>
      </c>
      <c r="C8" s="246">
        <f t="shared" si="0"/>
        <v>503657.63000000012</v>
      </c>
      <c r="D8" s="244"/>
      <c r="E8" s="20">
        <f>'DOE25'!L203+'DOE25'!L221+'DOE25'!L239-F8-G8-D9-D11</f>
        <v>499045.51000000013</v>
      </c>
      <c r="F8" s="256">
        <f>'DOE25'!J203+'DOE25'!J221+'DOE25'!J239</f>
        <v>0</v>
      </c>
      <c r="G8" s="53">
        <f>'DOE25'!K203+'DOE25'!K221+'DOE25'!K239</f>
        <v>4612.12</v>
      </c>
      <c r="H8" s="260"/>
    </row>
    <row r="9" spans="1:9">
      <c r="A9" s="32">
        <v>2310</v>
      </c>
      <c r="B9" t="s">
        <v>818</v>
      </c>
      <c r="C9" s="246">
        <f t="shared" si="0"/>
        <v>8639.57</v>
      </c>
      <c r="D9" s="245">
        <v>8639.57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14250</v>
      </c>
      <c r="D10" s="244"/>
      <c r="E10" s="245">
        <v>14250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206018.83</v>
      </c>
      <c r="D11" s="245">
        <v>206018.83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1012456.6100000001</v>
      </c>
      <c r="D12" s="20">
        <f>'DOE25'!L204+'DOE25'!L222+'DOE25'!L240-F12-G12</f>
        <v>1007891.6100000001</v>
      </c>
      <c r="E12" s="244"/>
      <c r="F12" s="256">
        <f>'DOE25'!J204+'DOE25'!J222+'DOE25'!J240</f>
        <v>0</v>
      </c>
      <c r="G12" s="53">
        <f>'DOE25'!K204+'DOE25'!K222+'DOE25'!K240</f>
        <v>4565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1211315.0699999998</v>
      </c>
      <c r="D14" s="20">
        <f>'DOE25'!L206+'DOE25'!L224+'DOE25'!L242-F14-G14</f>
        <v>1208870.2199999997</v>
      </c>
      <c r="E14" s="244"/>
      <c r="F14" s="256">
        <f>'DOE25'!J206+'DOE25'!J224+'DOE25'!J242</f>
        <v>2444.85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949461.07</v>
      </c>
      <c r="D15" s="20">
        <f>'DOE25'!L207+'DOE25'!L225+'DOE25'!L243-F15-G15</f>
        <v>949461.07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11940</v>
      </c>
      <c r="D22" s="244"/>
      <c r="E22" s="244"/>
      <c r="F22" s="256">
        <f>'DOE25'!L254+'DOE25'!L335</f>
        <v>11940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1893607.75</v>
      </c>
      <c r="D25" s="244"/>
      <c r="E25" s="244"/>
      <c r="F25" s="259"/>
      <c r="G25" s="257"/>
      <c r="H25" s="258">
        <f>'DOE25'!L259+'DOE25'!L260+'DOE25'!L340+'DOE25'!L341</f>
        <v>1893607.75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253022.34999999989</v>
      </c>
      <c r="D29" s="20">
        <f>'DOE25'!L357+'DOE25'!L358+'DOE25'!L359-'DOE25'!I366-F29-G29</f>
        <v>237952.08999999988</v>
      </c>
      <c r="E29" s="244"/>
      <c r="F29" s="256">
        <f>'DOE25'!J357+'DOE25'!J358+'DOE25'!J359</f>
        <v>15070.260000000002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492500</v>
      </c>
      <c r="D31" s="20">
        <f>'DOE25'!L289+'DOE25'!L308+'DOE25'!L327+'DOE25'!L332+'DOE25'!L333+'DOE25'!L334-F31-G31</f>
        <v>459253.16000000003</v>
      </c>
      <c r="E31" s="244"/>
      <c r="F31" s="256">
        <f>'DOE25'!J289+'DOE25'!J308+'DOE25'!J327+'DOE25'!J332+'DOE25'!J333+'DOE25'!J334</f>
        <v>33246.839999999997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16424372.23</v>
      </c>
      <c r="E33" s="247">
        <f>SUM(E5:E31)</f>
        <v>513295.51000000013</v>
      </c>
      <c r="F33" s="247">
        <f>SUM(F5:F31)</f>
        <v>189065.80000000002</v>
      </c>
      <c r="G33" s="247">
        <f>SUM(G5:G31)</f>
        <v>24161.06</v>
      </c>
      <c r="H33" s="247">
        <f>SUM(H5:H31)</f>
        <v>1893607.75</v>
      </c>
    </row>
    <row r="35" spans="2:8" ht="12" thickBot="1">
      <c r="B35" s="254" t="s">
        <v>847</v>
      </c>
      <c r="D35" s="255">
        <f>E33</f>
        <v>513295.51000000013</v>
      </c>
      <c r="E35" s="250"/>
    </row>
    <row r="36" spans="2:8" ht="12" thickTop="1">
      <c r="B36" t="s">
        <v>815</v>
      </c>
      <c r="D36" s="20">
        <f>D33</f>
        <v>16424372.23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Hollis Brookline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347712</v>
      </c>
      <c r="D8" s="95">
        <f>'DOE25'!G9</f>
        <v>237832</v>
      </c>
      <c r="E8" s="95">
        <f>'DOE25'!H9</f>
        <v>161407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7804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150999</v>
      </c>
      <c r="D11" s="95">
        <f>'DOE25'!G12</f>
        <v>0</v>
      </c>
      <c r="E11" s="95">
        <f>'DOE25'!H12</f>
        <v>164592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11306</v>
      </c>
      <c r="D12" s="95">
        <f>'DOE25'!G13</f>
        <v>2713</v>
      </c>
      <c r="E12" s="95">
        <f>'DOE25'!H13</f>
        <v>2515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1866</v>
      </c>
      <c r="D13" s="95">
        <f>'DOE25'!G14</f>
        <v>45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6800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34665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554352</v>
      </c>
      <c r="D18" s="41">
        <f>SUM(D8:D17)</f>
        <v>247390</v>
      </c>
      <c r="E18" s="41">
        <f>SUM(E8:E17)</f>
        <v>328514</v>
      </c>
      <c r="F18" s="41">
        <f>SUM(F8:F17)</f>
        <v>0</v>
      </c>
      <c r="G18" s="41">
        <f>SUM(G8:G17)</f>
        <v>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150999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20984</v>
      </c>
      <c r="D22" s="95">
        <f>'DOE25'!G23</f>
        <v>2071</v>
      </c>
      <c r="E22" s="95">
        <f>'DOE25'!H23</f>
        <v>9438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197336</v>
      </c>
      <c r="D23" s="95">
        <f>'DOE25'!G24</f>
        <v>0</v>
      </c>
      <c r="E23" s="95">
        <f>'DOE25'!H24</f>
        <v>4489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55322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16674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273642</v>
      </c>
      <c r="D31" s="41">
        <f>SUM(D21:D30)</f>
        <v>18745</v>
      </c>
      <c r="E31" s="41">
        <f>SUM(E21:E30)</f>
        <v>164926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6800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34665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99151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146894</v>
      </c>
      <c r="D44" s="95">
        <f>'DOE25'!G45</f>
        <v>216856</v>
      </c>
      <c r="E44" s="95">
        <f>'DOE25'!H45</f>
        <v>163588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4989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280710</v>
      </c>
      <c r="D49" s="41">
        <f>SUM(D34:D48)</f>
        <v>228645</v>
      </c>
      <c r="E49" s="41">
        <f>SUM(E34:E48)</f>
        <v>163588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>
      <c r="A50" s="38" t="s">
        <v>895</v>
      </c>
      <c r="B50" s="2"/>
      <c r="C50" s="41">
        <f>C49+C31</f>
        <v>554352</v>
      </c>
      <c r="D50" s="41">
        <f>D49+D31</f>
        <v>247390</v>
      </c>
      <c r="E50" s="41">
        <f>E49+E31</f>
        <v>328514</v>
      </c>
      <c r="F50" s="41">
        <f>F49+F31</f>
        <v>0</v>
      </c>
      <c r="G50" s="41">
        <f>G49+G31</f>
        <v>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12497653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10784</v>
      </c>
      <c r="D56" s="24" t="s">
        <v>289</v>
      </c>
      <c r="E56" s="95">
        <f>'DOE25'!H78</f>
        <v>13916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5248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464886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107053</v>
      </c>
      <c r="D60" s="95">
        <f>SUM('DOE25'!G97:G109)</f>
        <v>0</v>
      </c>
      <c r="E60" s="95">
        <f>SUM('DOE25'!H97:H109)</f>
        <v>123280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123085</v>
      </c>
      <c r="D61" s="130">
        <f>SUM(D56:D60)</f>
        <v>464886</v>
      </c>
      <c r="E61" s="130">
        <f>SUM(E56:E60)</f>
        <v>137196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12620738</v>
      </c>
      <c r="D62" s="22">
        <f>D55+D61</f>
        <v>464886</v>
      </c>
      <c r="E62" s="22">
        <f>E55+E61</f>
        <v>137196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2915644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2154962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2526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15224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5088356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396021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160379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4719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3618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561119</v>
      </c>
      <c r="D77" s="130">
        <f>SUM(D71:D76)</f>
        <v>3618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5649475</v>
      </c>
      <c r="D80" s="130">
        <f>SUM(D78:D79)+D77+D69</f>
        <v>3618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72788</v>
      </c>
      <c r="D87" s="95">
        <f>SUM('DOE25'!G152:G160)</f>
        <v>57891</v>
      </c>
      <c r="E87" s="95">
        <f>SUM('DOE25'!H152:H160)</f>
        <v>469679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72788</v>
      </c>
      <c r="D90" s="131">
        <f>SUM(D84:D89)</f>
        <v>57891</v>
      </c>
      <c r="E90" s="131">
        <f>SUM(E84:E89)</f>
        <v>469679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5797</v>
      </c>
      <c r="D99" s="95">
        <f>SUM('DOE25'!G185:G186)</f>
        <v>0</v>
      </c>
      <c r="E99" s="95">
        <f>SUM('DOE25'!H185:H186)</f>
        <v>1003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5797</v>
      </c>
      <c r="D102" s="86">
        <f>SUM(D92:D101)</f>
        <v>0</v>
      </c>
      <c r="E102" s="86">
        <f>SUM(E92:E101)</f>
        <v>1003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18348798</v>
      </c>
      <c r="D103" s="86">
        <f>D62+D80+D90+D102</f>
        <v>526395</v>
      </c>
      <c r="E103" s="86">
        <f>E62+E80+E90+E102</f>
        <v>607878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7051247.7799999993</v>
      </c>
      <c r="D108" s="24" t="s">
        <v>289</v>
      </c>
      <c r="E108" s="95">
        <f>('DOE25'!L275)+('DOE25'!L294)+('DOE25'!L313)</f>
        <v>151655.78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2975695.91</v>
      </c>
      <c r="D109" s="24" t="s">
        <v>289</v>
      </c>
      <c r="E109" s="95">
        <f>('DOE25'!L276)+('DOE25'!L295)+('DOE25'!L314)</f>
        <v>297088.39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67262.569999999992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557833.17000000004</v>
      </c>
      <c r="D111" s="24" t="s">
        <v>289</v>
      </c>
      <c r="E111" s="95">
        <f>+('DOE25'!L278)+('DOE25'!L297)+('DOE25'!L316)</f>
        <v>20351.370000000003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10652039.43</v>
      </c>
      <c r="D114" s="86">
        <f>SUM(D108:D113)</f>
        <v>0</v>
      </c>
      <c r="E114" s="86">
        <f>SUM(E108:E113)</f>
        <v>469095.54000000004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1401211.79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434382.25000000006</v>
      </c>
      <c r="D118" s="24" t="s">
        <v>289</v>
      </c>
      <c r="E118" s="95">
        <f>+('DOE25'!L281)+('DOE25'!L300)+('DOE25'!L319)</f>
        <v>11466.48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718316.03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1012456.6100000001</v>
      </c>
      <c r="D120" s="24" t="s">
        <v>289</v>
      </c>
      <c r="E120" s="95">
        <f>+('DOE25'!L283)+('DOE25'!L302)+('DOE25'!L321)</f>
        <v>7897.73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1211315.0699999998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949461.07</v>
      </c>
      <c r="D123" s="24" t="s">
        <v>289</v>
      </c>
      <c r="E123" s="95">
        <f>+('DOE25'!L286)+('DOE25'!L305)+('DOE25'!L324)</f>
        <v>4040.25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499762.99999999988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5727142.8200000003</v>
      </c>
      <c r="D127" s="86">
        <f>SUM(D117:D126)</f>
        <v>499762.99999999988</v>
      </c>
      <c r="E127" s="86">
        <f>SUM(E117:E126)</f>
        <v>23404.46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11940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1001517.77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892089.98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1905547.75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18284730</v>
      </c>
      <c r="D144" s="86">
        <f>(D114+D127+D143)</f>
        <v>499762.99999999988</v>
      </c>
      <c r="E144" s="86">
        <f>(E114+E127+E143)</f>
        <v>492500.00000000006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15</v>
      </c>
      <c r="E150" s="153">
        <f>'DOE25'!I489</f>
        <v>20</v>
      </c>
      <c r="F150" s="153">
        <f>'DOE25'!J489</f>
        <v>20</v>
      </c>
      <c r="G150" s="24" t="s">
        <v>289</v>
      </c>
    </row>
    <row r="151" spans="1:9">
      <c r="A151" s="136" t="s">
        <v>28</v>
      </c>
      <c r="B151" s="152" t="str">
        <f>'DOE25'!F490</f>
        <v>08/04</v>
      </c>
      <c r="C151" s="152" t="str">
        <f>'DOE25'!G490</f>
        <v>01/03</v>
      </c>
      <c r="D151" s="152" t="str">
        <f>'DOE25'!H490</f>
        <v>08/00</v>
      </c>
      <c r="E151" s="152" t="str">
        <f>'DOE25'!I490</f>
        <v>08/96</v>
      </c>
      <c r="F151" s="152" t="str">
        <f>'DOE25'!J490</f>
        <v>8/96</v>
      </c>
      <c r="G151" s="24" t="s">
        <v>289</v>
      </c>
    </row>
    <row r="152" spans="1:9">
      <c r="A152" s="136" t="s">
        <v>29</v>
      </c>
      <c r="B152" s="152" t="str">
        <f>'DOE25'!F491</f>
        <v>08/24</v>
      </c>
      <c r="C152" s="152" t="str">
        <f>'DOE25'!G491</f>
        <v>01/13</v>
      </c>
      <c r="D152" s="152" t="str">
        <f>'DOE25'!H491</f>
        <v>08/15</v>
      </c>
      <c r="E152" s="152" t="str">
        <f>'DOE25'!I491</f>
        <v>08/16</v>
      </c>
      <c r="F152" s="152" t="str">
        <f>'DOE25'!J491</f>
        <v>08/16</v>
      </c>
      <c r="G152" s="24" t="s">
        <v>289</v>
      </c>
    </row>
    <row r="153" spans="1:9">
      <c r="A153" s="136" t="s">
        <v>30</v>
      </c>
      <c r="B153" s="137">
        <f>'DOE25'!F492</f>
        <v>7703400</v>
      </c>
      <c r="C153" s="137">
        <f>'DOE25'!G492</f>
        <v>650000</v>
      </c>
      <c r="D153" s="137">
        <f>'DOE25'!H492</f>
        <v>3200000</v>
      </c>
      <c r="E153" s="137">
        <f>'DOE25'!I492</f>
        <v>8100000</v>
      </c>
      <c r="F153" s="137">
        <f>'DOE25'!J492</f>
        <v>2700000</v>
      </c>
      <c r="G153" s="24" t="s">
        <v>289</v>
      </c>
    </row>
    <row r="154" spans="1:9">
      <c r="A154" s="136" t="s">
        <v>31</v>
      </c>
      <c r="B154" s="137">
        <f>'DOE25'!F493</f>
        <v>4.54</v>
      </c>
      <c r="C154" s="137">
        <f>'DOE25'!G493</f>
        <v>4.25</v>
      </c>
      <c r="D154" s="137">
        <f>'DOE25'!H493</f>
        <v>5.2</v>
      </c>
      <c r="E154" s="137">
        <f>'DOE25'!I493</f>
        <v>5.71</v>
      </c>
      <c r="F154" s="137">
        <f>'DOE25'!J493</f>
        <v>5.71</v>
      </c>
      <c r="G154" s="24" t="s">
        <v>289</v>
      </c>
    </row>
    <row r="155" spans="1:9">
      <c r="A155" s="22" t="s">
        <v>32</v>
      </c>
      <c r="B155" s="137">
        <f>'DOE25'!F494</f>
        <v>310000</v>
      </c>
      <c r="C155" s="137">
        <f>'DOE25'!G494</f>
        <v>150000</v>
      </c>
      <c r="D155" s="137">
        <f>'DOE25'!H494</f>
        <v>787673</v>
      </c>
      <c r="E155" s="137">
        <f>'DOE25'!I494</f>
        <v>1502984</v>
      </c>
      <c r="F155" s="137">
        <f>'DOE25'!J494</f>
        <v>1305000</v>
      </c>
      <c r="G155" s="138">
        <f>SUM(B155:F155)</f>
        <v>4055657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310000</v>
      </c>
      <c r="C157" s="137">
        <f>'DOE25'!G496</f>
        <v>75000</v>
      </c>
      <c r="D157" s="137">
        <f>'DOE25'!H496</f>
        <v>174787</v>
      </c>
      <c r="E157" s="137">
        <f>'DOE25'!I496</f>
        <v>276730</v>
      </c>
      <c r="F157" s="137">
        <f>'DOE25'!J496</f>
        <v>165000</v>
      </c>
      <c r="G157" s="138">
        <f t="shared" si="0"/>
        <v>1001517</v>
      </c>
    </row>
    <row r="158" spans="1:9">
      <c r="A158" s="22" t="s">
        <v>35</v>
      </c>
      <c r="B158" s="137">
        <f>'DOE25'!F497</f>
        <v>5820000</v>
      </c>
      <c r="C158" s="137">
        <f>'DOE25'!G497</f>
        <v>75000</v>
      </c>
      <c r="D158" s="137">
        <f>'DOE25'!H497</f>
        <v>612886</v>
      </c>
      <c r="E158" s="137">
        <f>'DOE25'!I497</f>
        <v>1216254</v>
      </c>
      <c r="F158" s="137">
        <f>'DOE25'!J497</f>
        <v>1140000</v>
      </c>
      <c r="G158" s="138">
        <f t="shared" si="0"/>
        <v>8864140</v>
      </c>
    </row>
    <row r="159" spans="1:9">
      <c r="A159" s="22" t="s">
        <v>36</v>
      </c>
      <c r="B159" s="137">
        <f>'DOE25'!F498</f>
        <v>2004746</v>
      </c>
      <c r="C159" s="137">
        <f>'DOE25'!G498</f>
        <v>3188</v>
      </c>
      <c r="D159" s="137">
        <f>'DOE25'!H498</f>
        <v>611933</v>
      </c>
      <c r="E159" s="137">
        <f>'DOE25'!I498</f>
        <v>2183078</v>
      </c>
      <c r="F159" s="137">
        <f>'DOE25'!J498</f>
        <v>148206</v>
      </c>
      <c r="G159" s="138">
        <f t="shared" si="0"/>
        <v>4951151</v>
      </c>
    </row>
    <row r="160" spans="1:9">
      <c r="A160" s="22" t="s">
        <v>37</v>
      </c>
      <c r="B160" s="137">
        <f>'DOE25'!F499</f>
        <v>7824746</v>
      </c>
      <c r="C160" s="137">
        <f>'DOE25'!G499</f>
        <v>78188</v>
      </c>
      <c r="D160" s="137">
        <f>'DOE25'!H499</f>
        <v>1224819</v>
      </c>
      <c r="E160" s="137">
        <f>'DOE25'!I499</f>
        <v>3399332</v>
      </c>
      <c r="F160" s="137">
        <f>'DOE25'!J499</f>
        <v>1288206</v>
      </c>
      <c r="G160" s="138">
        <f t="shared" si="0"/>
        <v>13815291</v>
      </c>
    </row>
    <row r="161" spans="1:7">
      <c r="A161" s="22" t="s">
        <v>38</v>
      </c>
      <c r="B161" s="137">
        <f>'DOE25'!F500</f>
        <v>325000</v>
      </c>
      <c r="C161" s="137">
        <f>'DOE25'!G500</f>
        <v>75000</v>
      </c>
      <c r="D161" s="137">
        <f>'DOE25'!H500</f>
        <v>164516</v>
      </c>
      <c r="E161" s="137">
        <f>'DOE25'!I500</f>
        <v>271313</v>
      </c>
      <c r="F161" s="137">
        <f>'DOE25'!J500</f>
        <v>175000</v>
      </c>
      <c r="G161" s="138">
        <f t="shared" si="0"/>
        <v>1010829</v>
      </c>
    </row>
    <row r="162" spans="1:7">
      <c r="A162" s="22" t="s">
        <v>39</v>
      </c>
      <c r="B162" s="137">
        <f>'DOE25'!F501</f>
        <v>273159</v>
      </c>
      <c r="C162" s="137">
        <f>'DOE25'!G501</f>
        <v>3188</v>
      </c>
      <c r="D162" s="137">
        <f>'DOE25'!H501</f>
        <v>141751</v>
      </c>
      <c r="E162" s="137">
        <f>'DOE25'!I501</f>
        <v>408506</v>
      </c>
      <c r="F162" s="137">
        <f>'DOE25'!J501</f>
        <v>51606</v>
      </c>
      <c r="G162" s="138">
        <f t="shared" si="0"/>
        <v>878210</v>
      </c>
    </row>
    <row r="163" spans="1:7">
      <c r="A163" s="22" t="s">
        <v>246</v>
      </c>
      <c r="B163" s="137">
        <f>'DOE25'!F502</f>
        <v>598159</v>
      </c>
      <c r="C163" s="137">
        <f>'DOE25'!G502</f>
        <v>78188</v>
      </c>
      <c r="D163" s="137">
        <f>'DOE25'!H502</f>
        <v>306267</v>
      </c>
      <c r="E163" s="137">
        <f>'DOE25'!I502</f>
        <v>679819</v>
      </c>
      <c r="F163" s="137">
        <f>'DOE25'!J502</f>
        <v>226606</v>
      </c>
      <c r="G163" s="138">
        <f t="shared" si="0"/>
        <v>1889039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3" t="s">
        <v>740</v>
      </c>
      <c r="B1" s="283"/>
      <c r="C1" s="283"/>
      <c r="D1" s="283"/>
    </row>
    <row r="2" spans="1:4">
      <c r="A2" s="187" t="s">
        <v>717</v>
      </c>
      <c r="B2" s="186" t="str">
        <f>'DOE25'!A2</f>
        <v>Hollis Brookline Cooperative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12149</v>
      </c>
    </row>
    <row r="6" spans="1:4">
      <c r="B6" t="s">
        <v>62</v>
      </c>
      <c r="C6" s="179">
        <f>IF('DOE25'!H664+'DOE25'!H669=0,0,ROUND('DOE25'!H671,0))</f>
        <v>11105</v>
      </c>
    </row>
    <row r="7" spans="1:4">
      <c r="B7" t="s">
        <v>705</v>
      </c>
      <c r="C7" s="179">
        <f>IF('DOE25'!I664+'DOE25'!I669=0,0,ROUND('DOE25'!I671,0))</f>
        <v>11451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7202904</v>
      </c>
      <c r="D10" s="182">
        <f>ROUND((C10/$C$28)*100,1)</f>
        <v>40.5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3272784</v>
      </c>
      <c r="D11" s="182">
        <f>ROUND((C11/$C$28)*100,1)</f>
        <v>18.399999999999999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67263</v>
      </c>
      <c r="D12" s="182">
        <f>ROUND((C12/$C$28)*100,1)</f>
        <v>0.4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578185</v>
      </c>
      <c r="D13" s="182">
        <f>ROUND((C13/$C$28)*100,1)</f>
        <v>3.2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1401212</v>
      </c>
      <c r="D15" s="182">
        <f t="shared" ref="D15:D27" si="0">ROUND((C15/$C$28)*100,1)</f>
        <v>7.9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445849</v>
      </c>
      <c r="D16" s="182">
        <f t="shared" si="0"/>
        <v>2.5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718316</v>
      </c>
      <c r="D17" s="182">
        <f t="shared" si="0"/>
        <v>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1020354</v>
      </c>
      <c r="D18" s="182">
        <f t="shared" si="0"/>
        <v>5.7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1211315</v>
      </c>
      <c r="D20" s="182">
        <f t="shared" si="0"/>
        <v>6.8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953501</v>
      </c>
      <c r="D21" s="182">
        <f t="shared" si="0"/>
        <v>5.4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892090</v>
      </c>
      <c r="D25" s="182">
        <f t="shared" si="0"/>
        <v>5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34877</v>
      </c>
      <c r="D27" s="182">
        <f t="shared" si="0"/>
        <v>0.2</v>
      </c>
    </row>
    <row r="28" spans="1:4">
      <c r="B28" s="187" t="s">
        <v>723</v>
      </c>
      <c r="C28" s="180">
        <f>SUM(C10:C27)</f>
        <v>17798650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11940</v>
      </c>
    </row>
    <row r="30" spans="1:4">
      <c r="B30" s="187" t="s">
        <v>729</v>
      </c>
      <c r="C30" s="180">
        <f>SUM(C28:C29)</f>
        <v>17810590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1001518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12497653</v>
      </c>
      <c r="D35" s="182">
        <f t="shared" ref="D35:D40" si="1">ROUND((C35/$C$41)*100,1)</f>
        <v>65.7</v>
      </c>
    </row>
    <row r="36" spans="1:4">
      <c r="B36" s="185" t="s">
        <v>743</v>
      </c>
      <c r="C36" s="179">
        <f>SUM('DOE25'!F111:J111)-SUM('DOE25'!G96:G109)+('DOE25'!F173+'DOE25'!F174+'DOE25'!I173+'DOE25'!I174)-C35</f>
        <v>260281</v>
      </c>
      <c r="D36" s="182">
        <f t="shared" si="1"/>
        <v>1.4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5073132</v>
      </c>
      <c r="D37" s="182">
        <f t="shared" si="1"/>
        <v>26.7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579961</v>
      </c>
      <c r="D38" s="182">
        <f t="shared" si="1"/>
        <v>3.1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600358</v>
      </c>
      <c r="D39" s="182">
        <f t="shared" si="1"/>
        <v>3.2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19011385</v>
      </c>
      <c r="D41" s="184">
        <f>SUM(D35:D40)</f>
        <v>100.10000000000001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2" t="str">
        <f>'DOE25'!A2</f>
        <v>Hollis Brookline Cooperative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2012-10-18T17:53:15Z</cp:lastPrinted>
  <dcterms:created xsi:type="dcterms:W3CDTF">1997-12-04T19:04:30Z</dcterms:created>
  <dcterms:modified xsi:type="dcterms:W3CDTF">2012-11-21T14:44:15Z</dcterms:modified>
</cp:coreProperties>
</file>