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116" i="1" l="1"/>
  <c r="F464" i="1" l="1"/>
  <c r="F9" i="1"/>
  <c r="G464" i="1"/>
  <c r="G9" i="1"/>
  <c r="G96" i="1"/>
  <c r="I275" i="1" l="1"/>
  <c r="H203" i="1"/>
  <c r="G196" i="1"/>
  <c r="F610" i="1"/>
  <c r="H610" i="1"/>
  <c r="F367" i="1" l="1"/>
  <c r="F366" i="1"/>
  <c r="H357" i="1"/>
  <c r="H276" i="1"/>
  <c r="F275" i="1"/>
  <c r="I276" i="1"/>
  <c r="J276" i="1"/>
  <c r="H281" i="1"/>
  <c r="H154" i="1"/>
  <c r="H153" i="1"/>
  <c r="H160" i="1"/>
  <c r="H158" i="1"/>
  <c r="G157" i="1"/>
  <c r="K196" i="1" l="1"/>
  <c r="H196" i="1"/>
  <c r="J197" i="1"/>
  <c r="H197" i="1"/>
  <c r="H201" i="1"/>
  <c r="H202" i="1"/>
  <c r="H206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46" i="1"/>
  <c r="F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G469" i="1"/>
  <c r="I469" i="1"/>
  <c r="J469" i="1"/>
  <c r="G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8" i="1"/>
  <c r="J618" i="1" s="1"/>
  <c r="G619" i="1"/>
  <c r="J619" i="1" s="1"/>
  <c r="G623" i="1"/>
  <c r="G624" i="1"/>
  <c r="H627" i="1"/>
  <c r="H629" i="1"/>
  <c r="H630" i="1"/>
  <c r="G633" i="1"/>
  <c r="H633" i="1"/>
  <c r="H634" i="1"/>
  <c r="H635" i="1"/>
  <c r="H636" i="1"/>
  <c r="H637" i="1"/>
  <c r="G638" i="1"/>
  <c r="H638" i="1"/>
  <c r="G639" i="1"/>
  <c r="G640" i="1"/>
  <c r="H640" i="1"/>
  <c r="G642" i="1"/>
  <c r="H642" i="1"/>
  <c r="G643" i="1"/>
  <c r="H643" i="1"/>
  <c r="G644" i="1"/>
  <c r="H646" i="1"/>
  <c r="G648" i="1"/>
  <c r="G649" i="1"/>
  <c r="G650" i="1"/>
  <c r="G651" i="1"/>
  <c r="H651" i="1"/>
  <c r="J651" i="1" s="1"/>
  <c r="G652" i="1"/>
  <c r="H652" i="1"/>
  <c r="G653" i="1"/>
  <c r="H653" i="1"/>
  <c r="J653" i="1" s="1"/>
  <c r="H654" i="1"/>
  <c r="J351" i="1"/>
  <c r="F191" i="1"/>
  <c r="L255" i="1"/>
  <c r="K256" i="1"/>
  <c r="G256" i="1"/>
  <c r="G270" i="1" s="1"/>
  <c r="G163" i="2"/>
  <c r="G159" i="2"/>
  <c r="F31" i="2"/>
  <c r="C26" i="10"/>
  <c r="L327" i="1"/>
  <c r="H659" i="1" s="1"/>
  <c r="L350" i="1"/>
  <c r="I661" i="1"/>
  <c r="L289" i="1"/>
  <c r="A31" i="12"/>
  <c r="C69" i="2"/>
  <c r="A40" i="12"/>
  <c r="D12" i="13"/>
  <c r="C12" i="13" s="1"/>
  <c r="G8" i="2"/>
  <c r="G161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D49" i="2"/>
  <c r="G156" i="2"/>
  <c r="F49" i="2"/>
  <c r="F50" i="2" s="1"/>
  <c r="F18" i="2"/>
  <c r="G160" i="2"/>
  <c r="G157" i="2"/>
  <c r="G155" i="2"/>
  <c r="E143" i="2"/>
  <c r="G102" i="2"/>
  <c r="E102" i="2"/>
  <c r="C102" i="2"/>
  <c r="D90" i="2"/>
  <c r="F90" i="2"/>
  <c r="E61" i="2"/>
  <c r="E62" i="2" s="1"/>
  <c r="E31" i="2"/>
  <c r="G61" i="2"/>
  <c r="D29" i="13"/>
  <c r="C29" i="13" s="1"/>
  <c r="D19" i="13"/>
  <c r="C19" i="13" s="1"/>
  <c r="D14" i="13"/>
  <c r="C14" i="13" s="1"/>
  <c r="E13" i="13"/>
  <c r="C13" i="13" s="1"/>
  <c r="G570" i="1" l="1"/>
  <c r="I433" i="1"/>
  <c r="G433" i="1"/>
  <c r="I337" i="1"/>
  <c r="I351" i="1" s="1"/>
  <c r="C31" i="2"/>
  <c r="L269" i="1"/>
  <c r="F31" i="13"/>
  <c r="G660" i="1"/>
  <c r="E49" i="2"/>
  <c r="E108" i="2"/>
  <c r="F544" i="1"/>
  <c r="L528" i="1"/>
  <c r="G621" i="1"/>
  <c r="J616" i="1"/>
  <c r="D61" i="2"/>
  <c r="D62" i="2" s="1"/>
  <c r="G622" i="1"/>
  <c r="L228" i="1"/>
  <c r="C11" i="10"/>
  <c r="I256" i="1"/>
  <c r="I270" i="1" s="1"/>
  <c r="I445" i="1"/>
  <c r="G641" i="1" s="1"/>
  <c r="J641" i="1" s="1"/>
  <c r="D50" i="2"/>
  <c r="C18" i="2"/>
  <c r="C77" i="2"/>
  <c r="J652" i="1"/>
  <c r="G162" i="2"/>
  <c r="K502" i="1"/>
  <c r="K270" i="1"/>
  <c r="H660" i="1"/>
  <c r="H663" i="1" s="1"/>
  <c r="L361" i="1"/>
  <c r="E114" i="2"/>
  <c r="C10" i="10"/>
  <c r="F139" i="1"/>
  <c r="C61" i="2"/>
  <c r="C62" i="2" s="1"/>
  <c r="C127" i="2"/>
  <c r="J648" i="1"/>
  <c r="C108" i="2"/>
  <c r="C114" i="2" s="1"/>
  <c r="L210" i="1"/>
  <c r="G33" i="13"/>
  <c r="A22" i="12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33" i="1" s="1"/>
  <c r="G637" i="1" s="1"/>
  <c r="J637" i="1" s="1"/>
  <c r="L418" i="1"/>
  <c r="D80" i="2"/>
  <c r="I168" i="1"/>
  <c r="H168" i="1"/>
  <c r="J270" i="1"/>
  <c r="G551" i="1"/>
  <c r="E50" i="2"/>
  <c r="J643" i="1"/>
  <c r="J642" i="1"/>
  <c r="J475" i="1"/>
  <c r="H625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L564" i="1"/>
  <c r="L570" i="1" s="1"/>
  <c r="G544" i="1"/>
  <c r="L544" i="1"/>
  <c r="H544" i="1"/>
  <c r="K550" i="1"/>
  <c r="K551" i="1" s="1"/>
  <c r="F143" i="2"/>
  <c r="F144" i="2" s="1"/>
  <c r="D103" i="2" l="1"/>
  <c r="H666" i="1"/>
  <c r="H671" i="1"/>
  <c r="L256" i="1"/>
  <c r="L270" i="1" s="1"/>
  <c r="G631" i="1" s="1"/>
  <c r="H192" i="1"/>
  <c r="F192" i="1"/>
  <c r="J647" i="1"/>
  <c r="F659" i="1"/>
  <c r="F663" i="1" s="1"/>
  <c r="F671" i="1" s="1"/>
  <c r="C4" i="10" s="1"/>
  <c r="C27" i="10"/>
  <c r="C28" i="10" s="1"/>
  <c r="D25" i="10" s="1"/>
  <c r="G634" i="1"/>
  <c r="J634" i="1" s="1"/>
  <c r="E144" i="2"/>
  <c r="C103" i="2"/>
  <c r="C38" i="10"/>
  <c r="C41" i="10" s="1"/>
  <c r="D39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C25" i="13"/>
  <c r="H33" i="13"/>
  <c r="G630" i="1"/>
  <c r="J630" i="1" s="1"/>
  <c r="G645" i="1"/>
  <c r="G625" i="1"/>
  <c r="J51" i="1"/>
  <c r="H620" i="1" s="1"/>
  <c r="J620" i="1" s="1"/>
  <c r="G632" i="1" l="1"/>
  <c r="H471" i="1"/>
  <c r="G628" i="1"/>
  <c r="H467" i="1"/>
  <c r="F471" i="1"/>
  <c r="H631" i="1" s="1"/>
  <c r="J631" i="1" s="1"/>
  <c r="G626" i="1"/>
  <c r="F467" i="1"/>
  <c r="F666" i="1"/>
  <c r="D21" i="10"/>
  <c r="C30" i="10"/>
  <c r="D16" i="10"/>
  <c r="D23" i="10"/>
  <c r="D12" i="10"/>
  <c r="D19" i="10"/>
  <c r="D11" i="10"/>
  <c r="D24" i="10"/>
  <c r="D10" i="10"/>
  <c r="D20" i="10"/>
  <c r="D13" i="10"/>
  <c r="D18" i="10"/>
  <c r="D26" i="10"/>
  <c r="D17" i="10"/>
  <c r="D15" i="10"/>
  <c r="D27" i="10"/>
  <c r="D22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F473" i="1" l="1"/>
  <c r="H469" i="1"/>
  <c r="H628" i="1"/>
  <c r="H473" i="1"/>
  <c r="H632" i="1"/>
  <c r="J628" i="1"/>
  <c r="J632" i="1"/>
  <c r="F469" i="1"/>
  <c r="F475" i="1" s="1"/>
  <c r="H621" i="1" s="1"/>
  <c r="H626" i="1"/>
  <c r="J626" i="1" s="1"/>
  <c r="D28" i="10"/>
  <c r="D41" i="10"/>
  <c r="I666" i="1"/>
  <c r="I671" i="1"/>
  <c r="C7" i="10" s="1"/>
  <c r="G671" i="1"/>
  <c r="G666" i="1"/>
  <c r="H475" i="1" l="1"/>
  <c r="H623" i="1" s="1"/>
  <c r="J623" i="1" s="1"/>
  <c r="J621" i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<sst xmlns="http://schemas.openxmlformats.org/spreadsheetml/2006/main" count="3947" uniqueCount="912">
  <si>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</si>
  <si>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</si>
  <si>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</si>
  <si>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</si>
  <si>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</si>
  <si>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</si>
  <si>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</si>
  <si>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</si>
  <si>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</si>
  <si>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</si>
  <si>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</si>
  <si>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</si>
  <si>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</si>
  <si>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</si>
  <si>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</si>
  <si>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</si>
  <si>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</si>
  <si>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</si>
  <si>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</si>
  <si>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</si>
  <si>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</si>
  <si>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</si>
  <si>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</si>
  <si>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</si>
  <si>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</si>
  <si>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</si>
  <si>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</si>
  <si>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</si>
  <si>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</si>
  <si>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</si>
  <si>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</si>
  <si>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</si>
  <si>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</si>
  <si>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</si>
  <si>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</si>
  <si>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</si>
  <si>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</si>
  <si>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</si>
  <si>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</si>
  <si>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</si>
  <si>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</si>
  <si>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</si>
  <si>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</si>
  <si>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</si>
  <si>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</si>
  <si>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</si>
  <si>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</si>
  <si>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</si>
  <si>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</si>
  <si>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</si>
  <si>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</si>
  <si>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</si>
  <si>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</si>
  <si>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</si>
  <si>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</si>
  <si>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</si>
  <si>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</si>
  <si>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</si>
  <si>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</si>
  <si>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</si>
  <si>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</si>
  <si>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</si>
  <si>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</si>
  <si>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</si>
  <si>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</si>
  <si>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</si>
  <si>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</si>
  <si>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</si>
  <si>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</si>
  <si>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</si>
  <si>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</si>
  <si>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</si>
  <si>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</si>
  <si>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</si>
  <si>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</si>
  <si>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</si>
  <si>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</si>
  <si>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</si>
  <si>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</si>
  <si>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</si>
  <si>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</si>
  <si>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</si>
  <si>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</si>
  <si>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</si>
  <si>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</si>
  <si>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</si>
  <si>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</si>
  <si>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</si>
  <si>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</si>
  <si>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</si>
  <si>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</si>
  <si>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</si>
  <si>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</si>
  <si>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</si>
  <si>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</si>
  <si>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</si>
  <si>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</si>
  <si>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</si>
  <si>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</si>
  <si>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</si>
  <si>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</si>
  <si>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</si>
  <si>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</si>
  <si>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</si>
  <si>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</si>
  <si>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</si>
  <si>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</si>
  <si>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</si>
  <si>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</si>
  <si>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</si>
  <si>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</si>
  <si>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</si>
  <si>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</si>
  <si>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</si>
  <si>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</si>
  <si>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</si>
  <si>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</si>
  <si>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</si>
  <si>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</si>
  <si>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</si>
  <si>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</si>
  <si>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</si>
  <si>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</si>
  <si>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</si>
  <si>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</si>
  <si>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</si>
  <si>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</si>
  <si>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</si>
  <si>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</si>
  <si>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</si>
  <si>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</si>
  <si>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</si>
  <si>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</si>
  <si>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</si>
  <si>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</si>
  <si>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</si>
  <si>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</si>
  <si>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</si>
  <si>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</si>
  <si>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</si>
  <si>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</si>
  <si>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</si>
  <si>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</si>
  <si>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</si>
  <si>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</si>
  <si>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</si>
  <si>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</si>
  <si>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</si>
  <si>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</si>
  <si>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</si>
  <si>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</si>
  <si>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</si>
  <si>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</si>
  <si>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</si>
  <si>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</si>
  <si>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</si>
  <si>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</si>
  <si>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</si>
  <si>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</si>
  <si>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</si>
  <si>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</si>
  <si>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</si>
  <si>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</si>
  <si>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</si>
  <si>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</si>
  <si>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</si>
  <si>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</si>
  <si>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</si>
  <si>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</si>
  <si>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</si>
  <si>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</si>
  <si>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</si>
  <si>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</si>
  <si>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</si>
  <si>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</si>
  <si>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</si>
  <si>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</si>
  <si>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</si>
  <si>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</si>
  <si>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</si>
  <si>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</si>
  <si>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</si>
  <si>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</si>
  <si>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</si>
  <si>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</si>
  <si>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</si>
  <si>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</si>
  <si>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</si>
  <si>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</si>
  <si>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</si>
  <si>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</si>
  <si>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</si>
  <si>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</si>
  <si>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</si>
  <si>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</si>
  <si>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</si>
  <si>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</si>
  <si>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</si>
  <si>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</si>
  <si>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</si>
  <si>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</si>
  <si>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</si>
  <si>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</si>
  <si>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</si>
  <si>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</si>
  <si>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</si>
  <si>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</si>
  <si>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</si>
  <si>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</si>
  <si>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</si>
  <si>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</si>
  <si>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</si>
  <si>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</si>
  <si>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</si>
  <si>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</si>
  <si>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</si>
  <si>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</si>
  <si>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</si>
  <si>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</si>
  <si>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</si>
  <si>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</si>
  <si>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</si>
  <si>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</si>
  <si>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</si>
  <si>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</si>
  <si>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</si>
  <si>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</si>
  <si>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</si>
  <si>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</si>
  <si>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</si>
  <si>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</si>
  <si>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</si>
  <si>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</si>
  <si>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</si>
  <si>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</si>
  <si>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</si>
  <si>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</si>
  <si>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</si>
  <si>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</si>
  <si>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</si>
  <si>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</si>
  <si>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</si>
  <si>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</si>
  <si>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</si>
  <si>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</si>
  <si>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</si>
  <si>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</si>
  <si>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</si>
  <si>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</si>
  <si>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</si>
  <si>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</si>
  <si>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</si>
  <si>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</si>
  <si>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</si>
  <si>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</si>
  <si>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</si>
  <si>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</si>
  <si>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</si>
  <si>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</si>
  <si>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</si>
  <si>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</si>
  <si>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</si>
  <si>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</si>
  <si>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</si>
  <si>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</si>
  <si>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</si>
  <si>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</si>
  <si>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</si>
  <si>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</si>
  <si>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</si>
  <si>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</si>
  <si>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</si>
  <si>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</si>
  <si>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</si>
  <si>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</si>
  <si>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</si>
  <si>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</si>
  <si>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</si>
  <si>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</si>
  <si>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</si>
  <si>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</si>
  <si>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</si>
  <si>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</si>
  <si>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</si>
  <si>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</si>
  <si>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</si>
  <si>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</si>
  <si>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</si>
  <si>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</si>
  <si>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</si>
  <si>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</si>
  <si>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</si>
  <si>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</si>
  <si>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</si>
  <si>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</si>
  <si>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</si>
  <si>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</si>
  <si>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</si>
  <si>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</si>
  <si>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</si>
  <si>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</si>
  <si>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</si>
  <si>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</si>
  <si>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</si>
  <si>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</si>
  <si>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</si>
  <si>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</si>
  <si>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</si>
  <si>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</si>
  <si>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</si>
  <si>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</si>
  <si>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</si>
  <si>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</si>
  <si>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</si>
  <si>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</si>
  <si>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</si>
  <si>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</si>
  <si>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</si>
  <si>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</si>
  <si>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</si>
  <si>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</si>
  <si>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</si>
  <si>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</si>
  <si>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</si>
  <si>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</si>
  <si>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</si>
  <si>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</si>
  <si>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</si>
  <si>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</si>
  <si>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</si>
  <si>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</si>
  <si>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</si>
  <si>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</si>
  <si>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</si>
  <si>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</si>
  <si>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</si>
  <si>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</si>
  <si>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</si>
  <si>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</si>
  <si>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</si>
  <si>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</si>
  <si>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</si>
  <si>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</si>
  <si>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</si>
  <si>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</si>
  <si>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</si>
  <si>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</si>
  <si>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</si>
  <si>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</si>
  <si>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</si>
  <si>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</si>
  <si>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</si>
  <si>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</si>
  <si>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</si>
  <si>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</si>
  <si>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</si>
  <si>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</si>
  <si>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</si>
  <si>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</si>
  <si>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</si>
  <si>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</si>
  <si>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</si>
  <si>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</si>
  <si>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</si>
  <si>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</si>
  <si>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</si>
  <si>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</si>
  <si>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</si>
  <si>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</si>
  <si>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</si>
  <si>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</si>
  <si>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</si>
  <si>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</si>
  <si>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</si>
  <si>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</si>
  <si>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</si>
  <si>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</si>
  <si>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</si>
  <si>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</si>
  <si>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</si>
  <si>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</si>
  <si>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</si>
  <si>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</si>
  <si>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</si>
  <si>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</si>
  <si>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</si>
  <si>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</si>
  <si>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</si>
  <si>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</si>
  <si>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</si>
  <si>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</si>
  <si>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</si>
  <si>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</si>
  <si>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</si>
  <si>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</si>
  <si>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</si>
  <si>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</si>
  <si>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</si>
  <si>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</si>
  <si>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</si>
  <si>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</si>
  <si>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</si>
  <si>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</si>
  <si>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</si>
  <si>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</si>
  <si>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</si>
  <si>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</si>
  <si>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</si>
  <si>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</si>
  <si>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</si>
  <si>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</si>
  <si>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</si>
  <si>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</si>
  <si>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</si>
  <si>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</si>
  <si>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</si>
  <si>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</si>
  <si>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</si>
  <si>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</si>
  <si>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</si>
  <si>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</si>
  <si>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</si>
  <si>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</si>
  <si>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</si>
  <si>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</si>
  <si>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</si>
  <si>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</si>
  <si>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</si>
  <si>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</si>
  <si>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</si>
  <si>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</si>
  <si>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</si>
  <si>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</si>
  <si>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</si>
  <si>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</si>
  <si>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</si>
  <si>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</si>
  <si>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</si>
  <si>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</si>
  <si>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</si>
  <si>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</si>
  <si>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</si>
  <si>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</si>
  <si>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</si>
  <si>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</si>
  <si>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</si>
  <si>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</si>
  <si>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</si>
  <si>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</si>
  <si>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</si>
  <si>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</si>
  <si>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</si>
  <si>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</si>
  <si>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</si>
  <si>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</si>
  <si>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</si>
  <si>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</si>
  <si>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</si>
  <si>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</si>
  <si>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</si>
  <si>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</si>
  <si>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</si>
  <si>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</si>
  <si>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</si>
  <si>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</si>
  <si>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</si>
  <si>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</si>
  <si>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</si>
  <si>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</si>
  <si>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</si>
  <si>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</si>
  <si>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</si>
  <si>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</si>
  <si>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</si>
  <si>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</si>
  <si>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</si>
  <si>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</si>
  <si>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</si>
  <si>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</si>
  <si>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</si>
  <si>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</si>
  <si>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</si>
  <si>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</si>
  <si>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</si>
  <si>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</si>
  <si>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</si>
  <si>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</si>
  <si>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</si>
  <si>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</si>
  <si>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</si>
  <si>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</si>
  <si>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</si>
  <si>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</si>
  <si>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</si>
  <si>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</si>
  <si>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</si>
  <si>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</si>
  <si>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</si>
  <si>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</si>
  <si>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</si>
  <si>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</si>
  <si>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</si>
  <si>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</si>
  <si>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</si>
  <si>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</si>
  <si>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</si>
  <si>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</si>
  <si>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</si>
  <si>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</si>
  <si>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</si>
  <si>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</si>
  <si>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</si>
  <si>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</si>
  <si>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</si>
  <si>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</si>
  <si>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</si>
  <si>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</si>
  <si>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</si>
  <si>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</si>
  <si>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</si>
  <si>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</si>
  <si>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</si>
  <si>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</si>
  <si>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</si>
  <si>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</si>
  <si>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</si>
  <si>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</si>
  <si>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</si>
  <si>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</si>
  <si>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</si>
  <si>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</si>
  <si>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</si>
  <si>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</si>
  <si>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</si>
  <si>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</si>
  <si>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</si>
  <si>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</si>
  <si>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</si>
  <si>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</si>
  <si>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</si>
  <si>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</si>
  <si>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</si>
  <si>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</si>
  <si>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</si>
  <si>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</si>
  <si>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</si>
  <si>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</si>
  <si>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</si>
  <si>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</si>
  <si>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</si>
  <si>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</si>
  <si>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</si>
  <si>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</si>
  <si>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</si>
  <si>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</si>
  <si>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</si>
  <si>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</si>
  <si>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</si>
  <si>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</si>
  <si>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</si>
  <si>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</si>
  <si>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</si>
  <si>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</si>
  <si>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</si>
  <si>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</si>
  <si>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</si>
  <si>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</si>
  <si>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</si>
  <si>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</si>
  <si>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</si>
  <si>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</si>
  <si>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</si>
  <si>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</si>
  <si>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</si>
  <si>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</si>
  <si>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</si>
  <si>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</si>
  <si>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</si>
  <si>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</si>
  <si>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</si>
  <si>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</si>
  <si>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</si>
  <si>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</si>
  <si>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</si>
  <si>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</si>
  <si>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</si>
  <si>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</si>
  <si>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</si>
  <si>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</si>
  <si>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</si>
  <si>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</si>
  <si>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</si>
  <si>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</si>
  <si>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</si>
  <si>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</si>
  <si>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</si>
  <si>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</si>
  <si>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</si>
  <si>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</si>
  <si>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</si>
  <si>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</si>
  <si>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</si>
  <si>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</si>
  <si>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</si>
  <si>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</si>
  <si>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</si>
  <si>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</si>
  <si>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</si>
  <si>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</si>
  <si>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</si>
  <si>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</si>
  <si>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</si>
  <si>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</si>
  <si>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</si>
  <si>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</si>
  <si>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</si>
  <si>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</si>
  <si>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</si>
  <si>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</si>
  <si>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</si>
  <si>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</si>
  <si>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</si>
  <si>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</si>
  <si>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</si>
  <si>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</si>
  <si>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</si>
  <si>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</si>
  <si>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</si>
  <si>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</si>
  <si>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</si>
  <si>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</si>
  <si>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</si>
  <si>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</si>
  <si>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</si>
  <si>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</si>
  <si>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</si>
  <si>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</si>
  <si>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</si>
  <si>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</si>
  <si>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</si>
  <si>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</si>
  <si>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</si>
  <si>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</si>
  <si>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</si>
  <si>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</si>
  <si>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</si>
  <si>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</si>
  <si>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</si>
  <si>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</si>
  <si>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</si>
  <si>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</si>
  <si>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</si>
  <si>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</si>
  <si>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</si>
  <si>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</si>
  <si>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</si>
  <si>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</si>
  <si>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</si>
  <si>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</si>
  <si>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</si>
  <si>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</si>
  <si>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</si>
  <si>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</si>
  <si>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</si>
  <si>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</si>
  <si>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</si>
  <si>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</si>
  <si>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</si>
  <si>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</si>
  <si>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</si>
  <si>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</si>
  <si>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</si>
  <si>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</si>
  <si>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</si>
  <si>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</si>
  <si>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</si>
  <si>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</si>
  <si>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</si>
  <si>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</si>
  <si>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</si>
  <si>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</si>
  <si>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</si>
  <si>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</si>
  <si>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</si>
  <si>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</si>
  <si>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</si>
  <si>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</si>
  <si>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</si>
  <si>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</si>
  <si>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</si>
  <si>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</si>
  <si>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</si>
  <si>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</si>
  <si>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</si>
  <si>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</si>
  <si>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</si>
  <si>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</si>
  <si>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</si>
  <si>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</si>
  <si>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</si>
  <si>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</si>
  <si>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</si>
  <si>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</si>
  <si>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</si>
  <si>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</si>
  <si>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</si>
  <si>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</si>
  <si>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</si>
  <si>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</si>
  <si>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</si>
  <si>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</si>
  <si>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</si>
  <si>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</si>
  <si>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</si>
  <si>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</si>
  <si>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</si>
  <si>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</si>
  <si>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</si>
  <si>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</si>
  <si>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</si>
  <si>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</si>
  <si>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</si>
  <si>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</si>
  <si>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</si>
  <si>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</si>
  <si>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</si>
  <si>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</si>
  <si>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</si>
  <si>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</si>
  <si>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</si>
  <si>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</si>
  <si>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</si>
  <si>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</si>
  <si>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</si>
  <si>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</si>
  <si>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</si>
  <si>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</si>
  <si>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</si>
  <si>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</si>
  <si>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</si>
  <si>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</si>
  <si>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</si>
  <si>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</si>
  <si>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</si>
  <si>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</si>
  <si>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</si>
  <si>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</si>
  <si>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</si>
  <si>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</si>
  <si>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</si>
  <si>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</si>
  <si>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</si>
  <si>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</si>
  <si>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</si>
  <si>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</si>
  <si>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</si>
  <si>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</si>
  <si>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</si>
  <si>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</si>
  <si>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</si>
  <si>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</si>
  <si>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</si>
  <si>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</si>
  <si>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</si>
  <si>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</si>
  <si>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</si>
  <si>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</si>
  <si>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</si>
  <si>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</si>
  <si>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</si>
  <si>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</si>
  <si>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</si>
  <si>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</si>
  <si>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</si>
  <si>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</si>
  <si>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</si>
  <si>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</si>
  <si>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</si>
  <si>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</si>
  <si>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</si>
  <si>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</si>
  <si>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</si>
  <si>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</si>
  <si>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</si>
  <si>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</si>
  <si>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</si>
  <si>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</si>
  <si>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</si>
  <si>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</si>
  <si>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</si>
  <si>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</si>
  <si>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</si>
  <si>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</si>
  <si>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</si>
  <si>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</si>
  <si>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</si>
  <si>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</si>
  <si>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</si>
  <si>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</si>
  <si>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</si>
  <si>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</si>
  <si>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</si>
  <si>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</si>
  <si>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</si>
  <si>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</si>
  <si>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</si>
  <si>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</si>
  <si>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</si>
  <si>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</si>
  <si>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</si>
  <si>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</si>
  <si>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</si>
  <si>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</si>
  <si>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</si>
  <si>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</si>
  <si>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</si>
  <si>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</si>
  <si>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</si>
  <si>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</si>
  <si>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</si>
  <si>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</si>
  <si>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</si>
  <si>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</si>
  <si>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</si>
  <si>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</si>
  <si>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</si>
  <si>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</si>
  <si>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</si>
  <si>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</si>
  <si>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</si>
  <si>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</si>
  <si>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</si>
  <si>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</si>
  <si>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</si>
  <si>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</si>
  <si>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</si>
  <si>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</si>
  <si>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</si>
  <si>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</si>
  <si>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</si>
  <si>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</si>
  <si>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</si>
  <si>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</si>
  <si>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</si>
  <si>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</si>
  <si>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</si>
  <si>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</si>
  <si>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</si>
  <si>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</si>
  <si>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</si>
  <si>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</si>
  <si>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</si>
  <si>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</si>
  <si>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</si>
  <si>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</si>
  <si>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</si>
  <si>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</si>
  <si>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</si>
  <si>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</si>
  <si>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</si>
  <si>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</si>
  <si>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</si>
  <si>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</si>
  <si>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</si>
  <si>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</si>
  <si>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</si>
  <si>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</si>
  <si>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</si>
  <si>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</si>
  <si>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</si>
  <si>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</si>
  <si>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</si>
  <si>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</si>
  <si>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</si>
  <si>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</si>
  <si>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</si>
  <si>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</si>
  <si>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</si>
  <si>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</si>
  <si>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</si>
  <si>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</si>
  <si>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</si>
  <si>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</si>
  <si>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</si>
  <si>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</si>
  <si>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</si>
  <si>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</si>
  <si>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</si>
  <si>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</si>
  <si>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</si>
  <si>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</si>
  <si>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</si>
  <si>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</si>
  <si>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</si>
  <si>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</si>
  <si>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</si>
  <si>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</si>
  <si>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</si>
  <si>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</si>
  <si>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</si>
  <si>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</si>
  <si>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</si>
  <si>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</si>
  <si>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</si>
  <si>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</si>
  <si>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</si>
  <si>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</si>
  <si>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</si>
  <si>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</si>
  <si>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07/95</t>
  </si>
  <si>
    <t>08/14</t>
  </si>
  <si>
    <t>HOLLIS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</si>
</sst>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49" sqref="F4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911</v>
      </c>
      <c r="B2" s="21">
        <v>259</v>
      </c>
      <c r="C2" s="21">
        <v>259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648126.9+20000+200-31764</f>
        <v>636562.9</v>
      </c>
      <c r="G9" s="18">
        <f>28679+48+12924</f>
        <v>41651</v>
      </c>
      <c r="H9" s="18">
        <v>12002.63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468.79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137434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4935.03</v>
      </c>
      <c r="G13" s="18">
        <v>1926</v>
      </c>
      <c r="H13" s="18">
        <v>35865</v>
      </c>
      <c r="I13" s="18"/>
      <c r="J13" s="67">
        <f>SUM(I441)</f>
        <v>208123.81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4237.96</v>
      </c>
      <c r="G14" s="18"/>
      <c r="H14" s="18">
        <v>556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4759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15827.1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799465.78</v>
      </c>
      <c r="G19" s="41">
        <f>SUM(G9:G18)</f>
        <v>48336</v>
      </c>
      <c r="H19" s="41">
        <f>SUM(H9:H18)</f>
        <v>48423.63</v>
      </c>
      <c r="I19" s="41">
        <f>SUM(I9:I18)</f>
        <v>0</v>
      </c>
      <c r="J19" s="41">
        <f>SUM(J9:J18)</f>
        <v>208123.81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33457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5831.77</v>
      </c>
      <c r="G23" s="18"/>
      <c r="H23" s="18">
        <v>609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67770.7</v>
      </c>
      <c r="G24" s="18">
        <v>6406</v>
      </c>
      <c r="H24" s="18">
        <v>1800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31507.45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1972</v>
      </c>
      <c r="G30" s="18">
        <v>11788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107081.92</v>
      </c>
      <c r="G32" s="41">
        <f>SUM(G22:G31)</f>
        <v>18194</v>
      </c>
      <c r="H32" s="41">
        <f>SUM(H22:H31)</f>
        <v>35866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4759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15827.1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271">
        <v>290483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>
        <v>25383</v>
      </c>
      <c r="H45" s="18">
        <v>12557.63</v>
      </c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208123.81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50824.67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343076.19-15827.1+8000</f>
        <v>335249.09000000003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692383.86</v>
      </c>
      <c r="G50" s="41">
        <f>SUM(G35:G49)</f>
        <v>30142</v>
      </c>
      <c r="H50" s="41">
        <f>SUM(H35:H49)</f>
        <v>12557.63</v>
      </c>
      <c r="I50" s="41">
        <f>SUM(I35:I49)</f>
        <v>0</v>
      </c>
      <c r="J50" s="41">
        <f>SUM(J35:J49)</f>
        <v>208123.81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799465.78</v>
      </c>
      <c r="G51" s="41">
        <f>G50+G32</f>
        <v>48336</v>
      </c>
      <c r="H51" s="41">
        <f>H50+H32</f>
        <v>48423.63</v>
      </c>
      <c r="I51" s="41">
        <f>I50+I32</f>
        <v>0</v>
      </c>
      <c r="J51" s="41">
        <f>J50+J32</f>
        <v>208123.81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7329864.7699999996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7329864.7699999996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27965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27965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6097.07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75201.86+117244.46</f>
        <v>192446.32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8435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8000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4384.82</v>
      </c>
      <c r="G109" s="18"/>
      <c r="H109" s="18">
        <v>8629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18481.89</v>
      </c>
      <c r="G110" s="41">
        <f>SUM(G95:G109)</f>
        <v>192446.32</v>
      </c>
      <c r="H110" s="41">
        <f>SUM(H95:H109)</f>
        <v>17064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7376311.6599999992</v>
      </c>
      <c r="G111" s="41">
        <f>G59+G110</f>
        <v>192446.32</v>
      </c>
      <c r="H111" s="41">
        <f>H59+H78+H93+H110</f>
        <v>17064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926469-802</f>
        <v>925667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1296854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802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2223323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61927.61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68509.509999999995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2527.0100000000002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8764.15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139201.26999999999</v>
      </c>
      <c r="G135" s="41">
        <f>SUM(G122:G134)</f>
        <v>2527.0100000000002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2362524.27</v>
      </c>
      <c r="G139" s="41">
        <f>G120+SUM(G135:G136)</f>
        <v>2527.0100000000002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319.98+10095.71</f>
        <v>10415.689999999999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3551.6+276.35+12555.58</f>
        <v>16383.529999999999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12919.29+10352.13</f>
        <v>23271.42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10383.52+1029.1+118389.37+4604.57</f>
        <v>134406.56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8652.56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3493.98+562.37+51778.57</f>
        <v>55834.92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8652.56</v>
      </c>
      <c r="G161" s="41">
        <f>SUM(G149:G160)</f>
        <v>23271.42</v>
      </c>
      <c r="H161" s="41">
        <f>SUM(H149:H160)</f>
        <v>217040.7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8652.56</v>
      </c>
      <c r="G168" s="41">
        <f>G146+G161+SUM(G162:G167)</f>
        <v>23271.42</v>
      </c>
      <c r="H168" s="41">
        <f>H146+H161+SUM(H162:H167)</f>
        <v>217040.7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12000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12000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131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131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131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12000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9747619.4900000002</v>
      </c>
      <c r="G192" s="47">
        <f>G111+G139+G168+G191</f>
        <v>218244.75</v>
      </c>
      <c r="H192" s="47">
        <f>H111+H139+H168+H191</f>
        <v>234104.7</v>
      </c>
      <c r="I192" s="47">
        <f>I111+I139+I168+I191</f>
        <v>0</v>
      </c>
      <c r="J192" s="47">
        <f>J111+J139+J191</f>
        <v>12000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2836031.66</v>
      </c>
      <c r="G196" s="18">
        <f>912977.7-975</f>
        <v>912002.7</v>
      </c>
      <c r="H196" s="18">
        <f>2105.13</f>
        <v>2105.13</v>
      </c>
      <c r="I196" s="18">
        <v>103757.33</v>
      </c>
      <c r="J196" s="18">
        <v>73450.3</v>
      </c>
      <c r="K196" s="18">
        <f>1048.5+0</f>
        <v>1048.5</v>
      </c>
      <c r="L196" s="19">
        <f>SUM(F196:K196)</f>
        <v>3928395.62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1029075.45</v>
      </c>
      <c r="G197" s="18">
        <v>331280.84000000003</v>
      </c>
      <c r="H197" s="18">
        <f>551.5+0+180405.4</f>
        <v>180956.9</v>
      </c>
      <c r="I197" s="18">
        <v>10194.459999999999</v>
      </c>
      <c r="J197" s="18">
        <f>4383.86</f>
        <v>4383.8599999999997</v>
      </c>
      <c r="K197" s="18"/>
      <c r="L197" s="19">
        <f>SUM(F197:K197)</f>
        <v>1555891.51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596113.11</v>
      </c>
      <c r="G201" s="18">
        <v>191901.23</v>
      </c>
      <c r="H201" s="18">
        <f>103367.73+0+3475.94</f>
        <v>106843.67</v>
      </c>
      <c r="I201" s="18">
        <v>14237.62</v>
      </c>
      <c r="J201" s="18">
        <v>1157.1400000000001</v>
      </c>
      <c r="K201" s="18">
        <v>405</v>
      </c>
      <c r="L201" s="19">
        <f t="shared" ref="L201:L207" si="0">SUM(F201:K201)</f>
        <v>910657.77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179241.97</v>
      </c>
      <c r="G202" s="18">
        <v>71130.86</v>
      </c>
      <c r="H202" s="18">
        <f>30988+796.41+895.8</f>
        <v>32680.21</v>
      </c>
      <c r="I202" s="18">
        <v>25304.17</v>
      </c>
      <c r="J202" s="18">
        <v>2226.1999999999998</v>
      </c>
      <c r="K202" s="18"/>
      <c r="L202" s="19">
        <f t="shared" si="0"/>
        <v>310583.41000000003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f>444710.82+0+93.6</f>
        <v>444804.42</v>
      </c>
      <c r="I203" s="18">
        <v>4647.8900000000003</v>
      </c>
      <c r="J203" s="18"/>
      <c r="K203" s="18"/>
      <c r="L203" s="19">
        <f t="shared" si="0"/>
        <v>449452.31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412774.33</v>
      </c>
      <c r="G204" s="18">
        <v>132880.66</v>
      </c>
      <c r="H204" s="18">
        <v>63806.69</v>
      </c>
      <c r="I204" s="18">
        <v>3488.34</v>
      </c>
      <c r="J204" s="18">
        <v>1142.77</v>
      </c>
      <c r="K204" s="18">
        <v>3176</v>
      </c>
      <c r="L204" s="19">
        <f t="shared" si="0"/>
        <v>617268.78999999992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326961.3</v>
      </c>
      <c r="G206" s="18">
        <v>105255.66</v>
      </c>
      <c r="H206" s="18">
        <f>187.5+208028.51+32272.47</f>
        <v>240488.48</v>
      </c>
      <c r="I206" s="18">
        <v>259561.13</v>
      </c>
      <c r="J206" s="18">
        <v>10764.84</v>
      </c>
      <c r="K206" s="18"/>
      <c r="L206" s="19">
        <f t="shared" si="0"/>
        <v>943031.40999999992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351613.79</v>
      </c>
      <c r="I207" s="18">
        <v>67357.84</v>
      </c>
      <c r="J207" s="18"/>
      <c r="K207" s="18"/>
      <c r="L207" s="19">
        <f t="shared" si="0"/>
        <v>418971.63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5380197.8200000003</v>
      </c>
      <c r="G210" s="41">
        <f t="shared" si="1"/>
        <v>1744451.95</v>
      </c>
      <c r="H210" s="41">
        <f t="shared" si="1"/>
        <v>1423299.29</v>
      </c>
      <c r="I210" s="41">
        <f t="shared" si="1"/>
        <v>488548.78</v>
      </c>
      <c r="J210" s="41">
        <f t="shared" si="1"/>
        <v>93125.11</v>
      </c>
      <c r="K210" s="41">
        <f t="shared" si="1"/>
        <v>4629.5</v>
      </c>
      <c r="L210" s="41">
        <f t="shared" si="1"/>
        <v>9134252.4500000011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5380197.8200000003</v>
      </c>
      <c r="G256" s="41">
        <f t="shared" si="8"/>
        <v>1744451.95</v>
      </c>
      <c r="H256" s="41">
        <f t="shared" si="8"/>
        <v>1423299.29</v>
      </c>
      <c r="I256" s="41">
        <f t="shared" si="8"/>
        <v>488548.78</v>
      </c>
      <c r="J256" s="41">
        <f t="shared" si="8"/>
        <v>93125.11</v>
      </c>
      <c r="K256" s="41">
        <f t="shared" si="8"/>
        <v>4629.5</v>
      </c>
      <c r="L256" s="41">
        <f t="shared" si="8"/>
        <v>9134252.4500000011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175321.5</v>
      </c>
      <c r="L259" s="19">
        <f>SUM(F259:K259)</f>
        <v>175321.5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205008.5</v>
      </c>
      <c r="L260" s="19">
        <f>SUM(F260:K260)</f>
        <v>205008.5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12000</v>
      </c>
      <c r="L265" s="19">
        <f t="shared" si="9"/>
        <v>12000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392330</v>
      </c>
      <c r="L269" s="41">
        <f t="shared" si="9"/>
        <v>392330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5380197.8200000003</v>
      </c>
      <c r="G270" s="42">
        <f t="shared" si="11"/>
        <v>1744451.95</v>
      </c>
      <c r="H270" s="42">
        <f t="shared" si="11"/>
        <v>1423299.29</v>
      </c>
      <c r="I270" s="42">
        <f t="shared" si="11"/>
        <v>488548.78</v>
      </c>
      <c r="J270" s="42">
        <f t="shared" si="11"/>
        <v>93125.11</v>
      </c>
      <c r="K270" s="42">
        <f t="shared" si="11"/>
        <v>396959.5</v>
      </c>
      <c r="L270" s="42">
        <f t="shared" si="11"/>
        <v>9526582.4500000011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51778.57+9378.28</f>
        <v>61156.85</v>
      </c>
      <c r="G275" s="18">
        <v>717.43</v>
      </c>
      <c r="H275" s="18"/>
      <c r="I275" s="18">
        <f>669.46+319.98+997.48+1554.12+6590</f>
        <v>10131.040000000001</v>
      </c>
      <c r="J275" s="18"/>
      <c r="K275" s="18"/>
      <c r="L275" s="19">
        <f>SUM(F275:K275)</f>
        <v>72005.320000000007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79057.7</v>
      </c>
      <c r="G276" s="18"/>
      <c r="H276" s="18">
        <f>4765.75+31050+500+4750-(217176-217040.7)</f>
        <v>40930.450000000012</v>
      </c>
      <c r="I276" s="18">
        <f>515+3003.9+134.75+718.16+2153.57+6662.62</f>
        <v>13188</v>
      </c>
      <c r="J276" s="18">
        <f>538+1951</f>
        <v>2489</v>
      </c>
      <c r="K276" s="18"/>
      <c r="L276" s="19">
        <f>SUM(F276:K276)</f>
        <v>135665.15000000002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1920</v>
      </c>
      <c r="J280" s="18"/>
      <c r="K280" s="18"/>
      <c r="L280" s="19">
        <f t="shared" ref="L280:L286" si="12">SUM(F280:K280)</f>
        <v>1920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1000</v>
      </c>
      <c r="G281" s="18"/>
      <c r="H281" s="18">
        <f>10023.15+276.35+1862.97</f>
        <v>12162.47</v>
      </c>
      <c r="I281" s="18"/>
      <c r="J281" s="18"/>
      <c r="K281" s="18"/>
      <c r="L281" s="19">
        <f t="shared" si="12"/>
        <v>13162.47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>
        <v>2797.76</v>
      </c>
      <c r="H287" s="18"/>
      <c r="I287" s="18">
        <v>3516.37</v>
      </c>
      <c r="J287" s="18"/>
      <c r="K287" s="18"/>
      <c r="L287" s="19">
        <f>SUM(F287:K287)</f>
        <v>6314.13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141214.54999999999</v>
      </c>
      <c r="G289" s="42">
        <f t="shared" si="13"/>
        <v>3515.19</v>
      </c>
      <c r="H289" s="42">
        <f t="shared" si="13"/>
        <v>53092.920000000013</v>
      </c>
      <c r="I289" s="42">
        <f t="shared" si="13"/>
        <v>28755.41</v>
      </c>
      <c r="J289" s="42">
        <f t="shared" si="13"/>
        <v>2489</v>
      </c>
      <c r="K289" s="42">
        <f t="shared" si="13"/>
        <v>0</v>
      </c>
      <c r="L289" s="41">
        <f t="shared" si="13"/>
        <v>229067.07000000004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141214.54999999999</v>
      </c>
      <c r="G337" s="41">
        <f t="shared" si="20"/>
        <v>3515.19</v>
      </c>
      <c r="H337" s="41">
        <f t="shared" si="20"/>
        <v>53092.920000000013</v>
      </c>
      <c r="I337" s="41">
        <f t="shared" si="20"/>
        <v>28755.41</v>
      </c>
      <c r="J337" s="41">
        <f t="shared" si="20"/>
        <v>2489</v>
      </c>
      <c r="K337" s="41">
        <f t="shared" si="20"/>
        <v>0</v>
      </c>
      <c r="L337" s="41">
        <f t="shared" si="20"/>
        <v>229067.07000000004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141214.54999999999</v>
      </c>
      <c r="G351" s="41">
        <f>G337</f>
        <v>3515.19</v>
      </c>
      <c r="H351" s="41">
        <f>H337</f>
        <v>53092.920000000013</v>
      </c>
      <c r="I351" s="41">
        <f>I337</f>
        <v>28755.41</v>
      </c>
      <c r="J351" s="41">
        <f>J337</f>
        <v>2489</v>
      </c>
      <c r="K351" s="47">
        <f>K337+K350</f>
        <v>0</v>
      </c>
      <c r="L351" s="41">
        <f>L337+L350</f>
        <v>229067.07000000004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112162.55</v>
      </c>
      <c r="G357" s="18">
        <v>75</v>
      </c>
      <c r="H357" s="18">
        <f>0+1293.9+0</f>
        <v>1293.9000000000001</v>
      </c>
      <c r="I357" s="18">
        <v>94239.01</v>
      </c>
      <c r="J357" s="18">
        <v>9118.08</v>
      </c>
      <c r="K357" s="18"/>
      <c r="L357" s="13">
        <f>SUM(F357:K357)</f>
        <v>216888.53999999998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112162.55</v>
      </c>
      <c r="G361" s="47">
        <f t="shared" si="22"/>
        <v>75</v>
      </c>
      <c r="H361" s="47">
        <f t="shared" si="22"/>
        <v>1293.9000000000001</v>
      </c>
      <c r="I361" s="47">
        <f t="shared" si="22"/>
        <v>94239.01</v>
      </c>
      <c r="J361" s="47">
        <f t="shared" si="22"/>
        <v>9118.08</v>
      </c>
      <c r="K361" s="47">
        <f t="shared" si="22"/>
        <v>0</v>
      </c>
      <c r="L361" s="47">
        <f t="shared" si="22"/>
        <v>216888.53999999998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31973.98+53046.34</f>
        <v>85020.319999999992</v>
      </c>
      <c r="G366" s="18"/>
      <c r="H366" s="18"/>
      <c r="I366" s="56">
        <f>SUM(F366:H366)</f>
        <v>85020.319999999992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90+3118.26+4587.67+1422.76</f>
        <v>9218.69</v>
      </c>
      <c r="G367" s="63"/>
      <c r="H367" s="63"/>
      <c r="I367" s="56">
        <f>SUM(F367:H367)</f>
        <v>9218.69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94239.01</v>
      </c>
      <c r="G368" s="47">
        <f>SUM(G366:G367)</f>
        <v>0</v>
      </c>
      <c r="H368" s="47">
        <f>SUM(H366:H367)</f>
        <v>0</v>
      </c>
      <c r="I368" s="47">
        <f>SUM(I366:I367)</f>
        <v>94239.01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12000</v>
      </c>
      <c r="H395" s="18"/>
      <c r="I395" s="18"/>
      <c r="J395" s="24" t="s">
        <v>289</v>
      </c>
      <c r="K395" s="24" t="s">
        <v>289</v>
      </c>
      <c r="L395" s="56">
        <f t="shared" si="26"/>
        <v>12000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12000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12000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12000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12000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20000</v>
      </c>
      <c r="I421" s="18"/>
      <c r="J421" s="18"/>
      <c r="K421" s="18"/>
      <c r="L421" s="56">
        <f t="shared" si="29"/>
        <v>20000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20000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20000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20000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20000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208123.81</v>
      </c>
      <c r="H441" s="18"/>
      <c r="I441" s="56">
        <f t="shared" si="33"/>
        <v>208123.81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208123.81</v>
      </c>
      <c r="H445" s="13">
        <f>SUM(H438:H444)</f>
        <v>0</v>
      </c>
      <c r="I445" s="13">
        <f>SUM(I438:I444)</f>
        <v>208123.81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208123.81</v>
      </c>
      <c r="H458" s="18"/>
      <c r="I458" s="56">
        <f t="shared" si="34"/>
        <v>208123.81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208123.81</v>
      </c>
      <c r="H459" s="83">
        <f>SUM(H453:H458)</f>
        <v>0</v>
      </c>
      <c r="I459" s="83">
        <f>SUM(I453:I458)</f>
        <v>208123.81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208123.81</v>
      </c>
      <c r="H460" s="42">
        <f>H451+H459</f>
        <v>0</v>
      </c>
      <c r="I460" s="42">
        <f>I451+I459</f>
        <v>208123.81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f>471878-531.18</f>
        <v>471346.82</v>
      </c>
      <c r="G464" s="18">
        <f>27664+1121.79</f>
        <v>28785.79</v>
      </c>
      <c r="H464" s="18">
        <v>7520</v>
      </c>
      <c r="I464" s="18"/>
      <c r="J464" s="18">
        <v>216123.81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9747619.4900000002</v>
      </c>
      <c r="G467" s="18">
        <v>218244.75</v>
      </c>
      <c r="H467" s="18">
        <f>H192</f>
        <v>234104.7</v>
      </c>
      <c r="I467" s="18"/>
      <c r="J467" s="18">
        <v>12000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9747619.4900000002</v>
      </c>
      <c r="G469" s="53">
        <f>SUM(G467:G468)</f>
        <v>218244.75</v>
      </c>
      <c r="H469" s="53">
        <f>SUM(H467:H468)</f>
        <v>234104.7</v>
      </c>
      <c r="I469" s="53">
        <f>SUM(I467:I468)</f>
        <v>0</v>
      </c>
      <c r="J469" s="53">
        <f>SUM(J467:J468)</f>
        <v>12000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9526582.4500000011</v>
      </c>
      <c r="G471" s="18">
        <v>216888.54</v>
      </c>
      <c r="H471" s="18">
        <f>L351</f>
        <v>229067.07000000004</v>
      </c>
      <c r="I471" s="18"/>
      <c r="J471" s="18">
        <v>20000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9526582.4500000011</v>
      </c>
      <c r="G473" s="53">
        <f>SUM(G471:G472)</f>
        <v>216888.54</v>
      </c>
      <c r="H473" s="53">
        <f>SUM(H471:H472)</f>
        <v>229067.07000000004</v>
      </c>
      <c r="I473" s="53">
        <f>SUM(I471:I472)</f>
        <v>0</v>
      </c>
      <c r="J473" s="53">
        <f>SUM(J471:J472)</f>
        <v>20000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692383.8599999994</v>
      </c>
      <c r="G475" s="53">
        <f>(G464+G469)- G473</f>
        <v>30142</v>
      </c>
      <c r="H475" s="53">
        <f>(H464+H469)- H473</f>
        <v>12557.629999999976</v>
      </c>
      <c r="I475" s="53">
        <f>(I464+I469)- I473</f>
        <v>0</v>
      </c>
      <c r="J475" s="53">
        <f>(J464+J469)- J473</f>
        <v>208123.81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909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910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1960000</v>
      </c>
      <c r="G492" s="18">
        <v>2937516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5.82</v>
      </c>
      <c r="G493" s="18">
        <v>4.25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380000</v>
      </c>
      <c r="G494" s="18">
        <v>290043</v>
      </c>
      <c r="H494" s="18"/>
      <c r="I494" s="18"/>
      <c r="J494" s="18"/>
      <c r="K494" s="53">
        <f>SUM(F494:J494)</f>
        <v>670043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95000</v>
      </c>
      <c r="G496" s="18">
        <v>80322</v>
      </c>
      <c r="H496" s="18"/>
      <c r="I496" s="18"/>
      <c r="J496" s="18"/>
      <c r="K496" s="53">
        <f t="shared" si="35"/>
        <v>175322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285000</v>
      </c>
      <c r="G497" s="205">
        <v>209721</v>
      </c>
      <c r="H497" s="205"/>
      <c r="I497" s="205"/>
      <c r="J497" s="205"/>
      <c r="K497" s="206">
        <f t="shared" si="35"/>
        <v>494721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26172.51</v>
      </c>
      <c r="G498" s="18">
        <v>585279</v>
      </c>
      <c r="H498" s="18"/>
      <c r="I498" s="18"/>
      <c r="J498" s="18"/>
      <c r="K498" s="53">
        <f t="shared" si="35"/>
        <v>611451.51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311172.51</v>
      </c>
      <c r="G499" s="42">
        <f>SUM(G497:G498)</f>
        <v>795000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1106172.51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95000</v>
      </c>
      <c r="G500" s="205">
        <v>74870.45</v>
      </c>
      <c r="H500" s="205"/>
      <c r="I500" s="205"/>
      <c r="J500" s="205"/>
      <c r="K500" s="206">
        <f t="shared" si="35"/>
        <v>169870.45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14535</v>
      </c>
      <c r="G501" s="18">
        <v>190129.55</v>
      </c>
      <c r="H501" s="18"/>
      <c r="I501" s="18"/>
      <c r="J501" s="18"/>
      <c r="K501" s="53">
        <f t="shared" si="35"/>
        <v>204664.55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109535</v>
      </c>
      <c r="G502" s="42">
        <f>SUM(G500:G501)</f>
        <v>265000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374535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935493.79</v>
      </c>
      <c r="G520" s="18">
        <v>293957.34999999998</v>
      </c>
      <c r="H520" s="18">
        <v>181795.1</v>
      </c>
      <c r="I520" s="18">
        <v>1247.79</v>
      </c>
      <c r="J520" s="18">
        <v>4383.8599999999997</v>
      </c>
      <c r="K520" s="18"/>
      <c r="L520" s="88">
        <f>SUM(F520:K520)</f>
        <v>1416877.8900000004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935493.79</v>
      </c>
      <c r="G523" s="108">
        <f t="shared" ref="G523:L523" si="36">SUM(G520:G522)</f>
        <v>293957.34999999998</v>
      </c>
      <c r="H523" s="108">
        <f t="shared" si="36"/>
        <v>181795.1</v>
      </c>
      <c r="I523" s="108">
        <f t="shared" si="36"/>
        <v>1247.79</v>
      </c>
      <c r="J523" s="108">
        <f t="shared" si="36"/>
        <v>4383.8599999999997</v>
      </c>
      <c r="K523" s="108">
        <f t="shared" si="36"/>
        <v>0</v>
      </c>
      <c r="L523" s="89">
        <f t="shared" si="36"/>
        <v>1416877.8900000004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325238.87</v>
      </c>
      <c r="G525" s="18">
        <v>102198.82</v>
      </c>
      <c r="H525" s="18">
        <v>88373.49</v>
      </c>
      <c r="I525" s="18">
        <v>13283.12</v>
      </c>
      <c r="J525" s="18"/>
      <c r="K525" s="18"/>
      <c r="L525" s="88">
        <f>SUM(F525:K525)</f>
        <v>529094.30000000005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325238.87</v>
      </c>
      <c r="G528" s="89">
        <f t="shared" ref="G528:L528" si="37">SUM(G525:G527)</f>
        <v>102198.82</v>
      </c>
      <c r="H528" s="89">
        <f t="shared" si="37"/>
        <v>88373.49</v>
      </c>
      <c r="I528" s="89">
        <f t="shared" si="37"/>
        <v>13283.12</v>
      </c>
      <c r="J528" s="89">
        <f t="shared" si="37"/>
        <v>0</v>
      </c>
      <c r="K528" s="89">
        <f t="shared" si="37"/>
        <v>0</v>
      </c>
      <c r="L528" s="89">
        <f t="shared" si="37"/>
        <v>529094.30000000005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92407.7</v>
      </c>
      <c r="G530" s="18">
        <v>29036.99</v>
      </c>
      <c r="H530" s="18"/>
      <c r="I530" s="18"/>
      <c r="J530" s="18"/>
      <c r="K530" s="18"/>
      <c r="L530" s="88">
        <f>SUM(F530:K530)</f>
        <v>121444.69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92407.7</v>
      </c>
      <c r="G533" s="89">
        <f t="shared" ref="G533:L533" si="38">SUM(G530:G532)</f>
        <v>29036.99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121444.69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551.5</v>
      </c>
      <c r="I535" s="18"/>
      <c r="J535" s="18"/>
      <c r="K535" s="18"/>
      <c r="L535" s="88">
        <f>SUM(F535:K535)</f>
        <v>551.5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551.5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551.5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114269.54</v>
      </c>
      <c r="I540" s="18">
        <v>21890.35</v>
      </c>
      <c r="J540" s="18"/>
      <c r="K540" s="18"/>
      <c r="L540" s="88">
        <f>SUM(F540:K540)</f>
        <v>136159.88999999998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114269.54</v>
      </c>
      <c r="I543" s="194">
        <f t="shared" si="40"/>
        <v>21890.35</v>
      </c>
      <c r="J543" s="194">
        <f t="shared" si="40"/>
        <v>0</v>
      </c>
      <c r="K543" s="194">
        <f t="shared" si="40"/>
        <v>0</v>
      </c>
      <c r="L543" s="194">
        <f t="shared" si="40"/>
        <v>136159.88999999998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1353140.36</v>
      </c>
      <c r="G544" s="89">
        <f t="shared" ref="G544:L544" si="41">G523+G528+G533+G538+G543</f>
        <v>425193.16</v>
      </c>
      <c r="H544" s="89">
        <f t="shared" si="41"/>
        <v>384989.63</v>
      </c>
      <c r="I544" s="89">
        <f t="shared" si="41"/>
        <v>36421.259999999995</v>
      </c>
      <c r="J544" s="89">
        <f t="shared" si="41"/>
        <v>4383.8599999999997</v>
      </c>
      <c r="K544" s="89">
        <f t="shared" si="41"/>
        <v>0</v>
      </c>
      <c r="L544" s="89">
        <f t="shared" si="41"/>
        <v>2204128.2700000005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1416877.8900000004</v>
      </c>
      <c r="G548" s="87">
        <f>L525</f>
        <v>529094.30000000005</v>
      </c>
      <c r="H548" s="87">
        <f>L530</f>
        <v>121444.69</v>
      </c>
      <c r="I548" s="87">
        <f>L535</f>
        <v>551.5</v>
      </c>
      <c r="J548" s="87">
        <f>L540</f>
        <v>136159.88999999998</v>
      </c>
      <c r="K548" s="87">
        <f>SUM(F548:J548)</f>
        <v>2204128.2700000005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1416877.8900000004</v>
      </c>
      <c r="G551" s="89">
        <f t="shared" si="42"/>
        <v>529094.30000000005</v>
      </c>
      <c r="H551" s="89">
        <f t="shared" si="42"/>
        <v>121444.69</v>
      </c>
      <c r="I551" s="89">
        <f t="shared" si="42"/>
        <v>551.5</v>
      </c>
      <c r="J551" s="89">
        <f t="shared" si="42"/>
        <v>136159.88999999998</v>
      </c>
      <c r="K551" s="89">
        <f t="shared" si="42"/>
        <v>2204128.2700000005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167232.70000000001</v>
      </c>
      <c r="G581" s="18"/>
      <c r="H581" s="18"/>
      <c r="I581" s="87">
        <f t="shared" si="47"/>
        <v>167232.70000000001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280197.02</v>
      </c>
      <c r="I590" s="18"/>
      <c r="J590" s="18"/>
      <c r="K590" s="104">
        <f t="shared" ref="K590:K596" si="48">SUM(H590:J590)</f>
        <v>280197.02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136159.89000000001</v>
      </c>
      <c r="I591" s="18"/>
      <c r="J591" s="18"/>
      <c r="K591" s="104">
        <f t="shared" si="48"/>
        <v>136159.89000000001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2614.7199999999998</v>
      </c>
      <c r="I594" s="18"/>
      <c r="J594" s="18"/>
      <c r="K594" s="104">
        <f t="shared" si="48"/>
        <v>2614.7199999999998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418971.63</v>
      </c>
      <c r="I597" s="108">
        <f>SUM(I590:I596)</f>
        <v>0</v>
      </c>
      <c r="J597" s="108">
        <f>SUM(J590:J596)</f>
        <v>0</v>
      </c>
      <c r="K597" s="108">
        <f>SUM(K590:K596)</f>
        <v>418971.63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95614.11</v>
      </c>
      <c r="I603" s="18"/>
      <c r="J603" s="18"/>
      <c r="K603" s="104">
        <f>SUM(H603:J603)</f>
        <v>95614.11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95614.11</v>
      </c>
      <c r="I604" s="108">
        <f>SUM(I601:I603)</f>
        <v>0</v>
      </c>
      <c r="J604" s="108">
        <f>SUM(J601:J603)</f>
        <v>0</v>
      </c>
      <c r="K604" s="108">
        <f>SUM(K601:K603)</f>
        <v>95614.11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7383.3+23613.16</f>
        <v>30996.46</v>
      </c>
      <c r="G610" s="18"/>
      <c r="H610" s="18">
        <f>195+225+304+300+210</f>
        <v>1234</v>
      </c>
      <c r="I610" s="18"/>
      <c r="J610" s="18"/>
      <c r="K610" s="18"/>
      <c r="L610" s="88">
        <f>SUM(F610:K610)</f>
        <v>32230.46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30996.46</v>
      </c>
      <c r="G613" s="108">
        <f t="shared" si="49"/>
        <v>0</v>
      </c>
      <c r="H613" s="108">
        <f t="shared" si="49"/>
        <v>1234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32230.46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799465.78</v>
      </c>
      <c r="H616" s="109">
        <f>SUM(F51)</f>
        <v>799465.78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48336</v>
      </c>
      <c r="H617" s="109">
        <f>SUM(G51)</f>
        <v>48336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48423.63</v>
      </c>
      <c r="H618" s="109">
        <f>SUM(H51)</f>
        <v>48423.63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208123.81</v>
      </c>
      <c r="H620" s="109">
        <f>SUM(J51)</f>
        <v>208123.81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692383.86</v>
      </c>
      <c r="H621" s="109">
        <f>F475</f>
        <v>692383.8599999994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30142</v>
      </c>
      <c r="H622" s="109">
        <f>G475</f>
        <v>30142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12557.63</v>
      </c>
      <c r="H623" s="109">
        <f>H475</f>
        <v>12557.629999999976</v>
      </c>
      <c r="I623" s="121" t="s">
        <v>103</v>
      </c>
      <c r="J623" s="109">
        <f t="shared" si="50"/>
        <v>2.3646862246096134E-11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208123.81</v>
      </c>
      <c r="H625" s="109">
        <f>J475</f>
        <v>208123.81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9747619.4900000002</v>
      </c>
      <c r="H626" s="104">
        <f>SUM(F467)</f>
        <v>9747619.4900000002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218244.75</v>
      </c>
      <c r="H627" s="104">
        <f>SUM(G467)</f>
        <v>218244.75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234104.7</v>
      </c>
      <c r="H628" s="104">
        <f>SUM(H467)</f>
        <v>234104.7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12000</v>
      </c>
      <c r="H630" s="104">
        <f>SUM(J467)</f>
        <v>12000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9526582.4500000011</v>
      </c>
      <c r="H631" s="104">
        <f>SUM(F471)</f>
        <v>9526582.4500000011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229067.07000000004</v>
      </c>
      <c r="H632" s="104">
        <f>SUM(H471)</f>
        <v>229067.07000000004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94239.01</v>
      </c>
      <c r="H633" s="104">
        <f>I368</f>
        <v>94239.01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216888.53999999998</v>
      </c>
      <c r="H634" s="104">
        <f>SUM(G471)</f>
        <v>216888.54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12000</v>
      </c>
      <c r="H636" s="164">
        <f>SUM(J467)</f>
        <v>12000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20000</v>
      </c>
      <c r="H637" s="164">
        <f>SUM(J471)</f>
        <v>20000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208123.81</v>
      </c>
      <c r="H639" s="104">
        <f>SUM(G460)</f>
        <v>208123.81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208123.81</v>
      </c>
      <c r="H641" s="104">
        <f>SUM(I460)</f>
        <v>208123.81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12000</v>
      </c>
      <c r="H644" s="104">
        <f>G407</f>
        <v>12000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12000</v>
      </c>
      <c r="H645" s="104">
        <f>L407</f>
        <v>12000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418971.63</v>
      </c>
      <c r="H646" s="104">
        <f>L207+L225+L243</f>
        <v>418971.63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95614.11</v>
      </c>
      <c r="H647" s="104">
        <f>(J256+J337)-(J254+J335)</f>
        <v>95614.11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418971.63</v>
      </c>
      <c r="H648" s="104">
        <f>H597</f>
        <v>418971.63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12000</v>
      </c>
      <c r="H654" s="104">
        <f>K265+K346</f>
        <v>12000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9580208.0600000005</v>
      </c>
      <c r="G659" s="19">
        <f>(L228+L308+L358)</f>
        <v>0</v>
      </c>
      <c r="H659" s="19">
        <f>(L246+L327+L359)</f>
        <v>0</v>
      </c>
      <c r="I659" s="19">
        <f>SUM(F659:H659)</f>
        <v>9580208.0600000005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192446.32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192446.32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418971.63</v>
      </c>
      <c r="G661" s="19">
        <f>(L225+L305)-(J225+J305)</f>
        <v>0</v>
      </c>
      <c r="H661" s="19">
        <f>(L243+L324)-(J243+J324)</f>
        <v>0</v>
      </c>
      <c r="I661" s="19">
        <f>SUM(F661:H661)</f>
        <v>418971.63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295077.27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295077.27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8673712.8399999999</v>
      </c>
      <c r="G663" s="19">
        <f>G659-SUM(G660:G662)</f>
        <v>0</v>
      </c>
      <c r="H663" s="19">
        <f>H659-SUM(H660:H662)</f>
        <v>0</v>
      </c>
      <c r="I663" s="19">
        <f>I659-SUM(I660:I662)</f>
        <v>8673712.8399999999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592.17999999999995</v>
      </c>
      <c r="G664" s="249"/>
      <c r="H664" s="249"/>
      <c r="I664" s="19">
        <f>SUM(F664:H664)</f>
        <v>592.17999999999995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14647.09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14647.09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14647.09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14647.09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I18" sqref="I1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HOLLIS</v>
      </c>
      <c r="C1" s="239" t="s">
        <v>839</v>
      </c>
    </row>
    <row r="2" spans="1:3">
      <c r="A2" s="234"/>
      <c r="B2" s="233"/>
    </row>
    <row r="3" spans="1:3">
      <c r="A3" s="275" t="s">
        <v>784</v>
      </c>
      <c r="B3" s="275"/>
      <c r="C3" s="275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4" t="s">
        <v>783</v>
      </c>
      <c r="C6" s="274"/>
    </row>
    <row r="7" spans="1:3">
      <c r="A7" s="240" t="s">
        <v>786</v>
      </c>
      <c r="B7" s="272" t="s">
        <v>782</v>
      </c>
      <c r="C7" s="273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2897188.5100000002</v>
      </c>
      <c r="C9" s="230">
        <f>'DOE25'!G196+'DOE25'!G214+'DOE25'!G232+'DOE25'!G275+'DOE25'!G294+'DOE25'!G313</f>
        <v>912720.13</v>
      </c>
    </row>
    <row r="10" spans="1:3">
      <c r="A10" t="s">
        <v>779</v>
      </c>
      <c r="B10" s="241">
        <v>2607573.25</v>
      </c>
      <c r="C10" s="241">
        <v>821480.8</v>
      </c>
    </row>
    <row r="11" spans="1:3">
      <c r="A11" t="s">
        <v>780</v>
      </c>
      <c r="B11" s="241">
        <v>131406.88</v>
      </c>
      <c r="C11" s="241">
        <v>41397.919999999998</v>
      </c>
    </row>
    <row r="12" spans="1:3">
      <c r="A12" t="s">
        <v>781</v>
      </c>
      <c r="B12" s="241">
        <v>158208.38</v>
      </c>
      <c r="C12" s="241">
        <v>49841.41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2897188.51</v>
      </c>
      <c r="C13" s="232">
        <f>SUM(C10:C12)</f>
        <v>912720.13000000012</v>
      </c>
    </row>
    <row r="14" spans="1:3">
      <c r="B14" s="231"/>
      <c r="C14" s="231"/>
    </row>
    <row r="15" spans="1:3">
      <c r="B15" s="274" t="s">
        <v>783</v>
      </c>
      <c r="C15" s="274"/>
    </row>
    <row r="16" spans="1:3">
      <c r="A16" s="240" t="s">
        <v>787</v>
      </c>
      <c r="B16" s="272" t="s">
        <v>707</v>
      </c>
      <c r="C16" s="273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1108133.1499999999</v>
      </c>
      <c r="C18" s="230">
        <f>'DOE25'!G197+'DOE25'!G215+'DOE25'!G233+'DOE25'!G276+'DOE25'!G295+'DOE25'!G314</f>
        <v>331280.84000000003</v>
      </c>
    </row>
    <row r="19" spans="1:3">
      <c r="A19" t="s">
        <v>779</v>
      </c>
      <c r="B19" s="241">
        <v>464566.17</v>
      </c>
      <c r="C19" s="241">
        <v>138883.9</v>
      </c>
    </row>
    <row r="20" spans="1:3">
      <c r="A20" t="s">
        <v>780</v>
      </c>
      <c r="B20" s="241">
        <v>549985.31999999995</v>
      </c>
      <c r="C20" s="241">
        <v>164420.29999999999</v>
      </c>
    </row>
    <row r="21" spans="1:3">
      <c r="A21" t="s">
        <v>781</v>
      </c>
      <c r="B21" s="241">
        <v>93581.66</v>
      </c>
      <c r="C21" s="241">
        <v>27976.639999999999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1108133.1499999999</v>
      </c>
      <c r="C22" s="232">
        <f>SUM(C19:C21)</f>
        <v>331280.83999999997</v>
      </c>
    </row>
    <row r="23" spans="1:3">
      <c r="B23" s="231"/>
      <c r="C23" s="231"/>
    </row>
    <row r="24" spans="1:3">
      <c r="B24" s="274" t="s">
        <v>783</v>
      </c>
      <c r="C24" s="274"/>
    </row>
    <row r="25" spans="1:3">
      <c r="A25" s="240" t="s">
        <v>788</v>
      </c>
      <c r="B25" s="272" t="s">
        <v>708</v>
      </c>
      <c r="C25" s="273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4" t="s">
        <v>783</v>
      </c>
      <c r="C33" s="274"/>
    </row>
    <row r="34" spans="1:3">
      <c r="A34" s="240" t="s">
        <v>789</v>
      </c>
      <c r="B34" s="272" t="s">
        <v>709</v>
      </c>
      <c r="C34" s="273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I18" sqref="I18"/>
      <selection pane="bottomLeft" activeCell="I18" sqref="I18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>
      <c r="A2" s="33" t="s">
        <v>717</v>
      </c>
      <c r="B2" s="266" t="str">
        <f>'DOE25'!A2</f>
        <v>HOLLIS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5484287.1299999999</v>
      </c>
      <c r="D5" s="20">
        <f>SUM('DOE25'!L196:L199)+SUM('DOE25'!L214:L217)+SUM('DOE25'!L232:L235)-F5-G5</f>
        <v>5405404.4699999997</v>
      </c>
      <c r="E5" s="244"/>
      <c r="F5" s="256">
        <f>SUM('DOE25'!J196:J199)+SUM('DOE25'!J214:J217)+SUM('DOE25'!J232:J235)</f>
        <v>77834.16</v>
      </c>
      <c r="G5" s="53">
        <f>SUM('DOE25'!K196:K199)+SUM('DOE25'!K214:K217)+SUM('DOE25'!K232:K235)</f>
        <v>1048.5</v>
      </c>
      <c r="H5" s="260"/>
    </row>
    <row r="6" spans="1:9">
      <c r="A6" s="32">
        <v>2100</v>
      </c>
      <c r="B6" t="s">
        <v>801</v>
      </c>
      <c r="C6" s="246">
        <f t="shared" si="0"/>
        <v>910657.77</v>
      </c>
      <c r="D6" s="20">
        <f>'DOE25'!L201+'DOE25'!L219+'DOE25'!L237-F6-G6</f>
        <v>909095.63</v>
      </c>
      <c r="E6" s="244"/>
      <c r="F6" s="256">
        <f>'DOE25'!J201+'DOE25'!J219+'DOE25'!J237</f>
        <v>1157.1400000000001</v>
      </c>
      <c r="G6" s="53">
        <f>'DOE25'!K201+'DOE25'!K219+'DOE25'!K237</f>
        <v>405</v>
      </c>
      <c r="H6" s="260"/>
    </row>
    <row r="7" spans="1:9">
      <c r="A7" s="32">
        <v>2200</v>
      </c>
      <c r="B7" t="s">
        <v>834</v>
      </c>
      <c r="C7" s="246">
        <f t="shared" si="0"/>
        <v>310583.41000000003</v>
      </c>
      <c r="D7" s="20">
        <f>'DOE25'!L202+'DOE25'!L220+'DOE25'!L238-F7-G7</f>
        <v>308357.21000000002</v>
      </c>
      <c r="E7" s="244"/>
      <c r="F7" s="256">
        <f>'DOE25'!J202+'DOE25'!J220+'DOE25'!J238</f>
        <v>2226.1999999999998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331744.14999999997</v>
      </c>
      <c r="D8" s="244"/>
      <c r="E8" s="20">
        <f>'DOE25'!L203+'DOE25'!L221+'DOE25'!L239-F8-G8-D9-D11</f>
        <v>331744.14999999997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9328.59</v>
      </c>
      <c r="D9" s="245">
        <v>9328.59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9250</v>
      </c>
      <c r="D10" s="244"/>
      <c r="E10" s="245">
        <v>9250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108379.57</v>
      </c>
      <c r="D11" s="245">
        <v>108379.57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617268.78999999992</v>
      </c>
      <c r="D12" s="20">
        <f>'DOE25'!L204+'DOE25'!L222+'DOE25'!L240-F12-G12</f>
        <v>612950.0199999999</v>
      </c>
      <c r="E12" s="244"/>
      <c r="F12" s="256">
        <f>'DOE25'!J204+'DOE25'!J222+'DOE25'!J240</f>
        <v>1142.77</v>
      </c>
      <c r="G12" s="53">
        <f>'DOE25'!K204+'DOE25'!K222+'DOE25'!K240</f>
        <v>3176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943031.40999999992</v>
      </c>
      <c r="D14" s="20">
        <f>'DOE25'!L206+'DOE25'!L224+'DOE25'!L242-F14-G14</f>
        <v>932266.57</v>
      </c>
      <c r="E14" s="244"/>
      <c r="F14" s="256">
        <f>'DOE25'!J206+'DOE25'!J224+'DOE25'!J242</f>
        <v>10764.84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418971.63</v>
      </c>
      <c r="D15" s="20">
        <f>'DOE25'!L207+'DOE25'!L225+'DOE25'!L243-F15-G15</f>
        <v>418971.63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380330</v>
      </c>
      <c r="D25" s="244"/>
      <c r="E25" s="244"/>
      <c r="F25" s="259"/>
      <c r="G25" s="257"/>
      <c r="H25" s="258">
        <f>'DOE25'!L259+'DOE25'!L260+'DOE25'!L340+'DOE25'!L341</f>
        <v>380330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131868.21999999997</v>
      </c>
      <c r="D29" s="20">
        <f>'DOE25'!L357+'DOE25'!L358+'DOE25'!L359-'DOE25'!I366-F29-G29</f>
        <v>122750.13999999997</v>
      </c>
      <c r="E29" s="244"/>
      <c r="F29" s="256">
        <f>'DOE25'!J357+'DOE25'!J358+'DOE25'!J359</f>
        <v>9118.08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229067.07000000004</v>
      </c>
      <c r="D31" s="20">
        <f>'DOE25'!L289+'DOE25'!L308+'DOE25'!L327+'DOE25'!L332+'DOE25'!L333+'DOE25'!L334-F31-G31</f>
        <v>226578.07000000004</v>
      </c>
      <c r="E31" s="244"/>
      <c r="F31" s="256">
        <f>'DOE25'!J289+'DOE25'!J308+'DOE25'!J327+'DOE25'!J332+'DOE25'!J333+'DOE25'!J334</f>
        <v>2489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9054081.9000000004</v>
      </c>
      <c r="E33" s="247">
        <f>SUM(E5:E31)</f>
        <v>340994.14999999997</v>
      </c>
      <c r="F33" s="247">
        <f>SUM(F5:F31)</f>
        <v>104732.19</v>
      </c>
      <c r="G33" s="247">
        <f>SUM(G5:G31)</f>
        <v>4629.5</v>
      </c>
      <c r="H33" s="247">
        <f>SUM(H5:H31)</f>
        <v>380330</v>
      </c>
    </row>
    <row r="35" spans="2:8" ht="12" thickBot="1">
      <c r="B35" s="254" t="s">
        <v>847</v>
      </c>
      <c r="D35" s="255">
        <f>E33</f>
        <v>340994.14999999997</v>
      </c>
      <c r="E35" s="250"/>
    </row>
    <row r="36" spans="2:8" ht="12" thickTop="1">
      <c r="B36" t="s">
        <v>815</v>
      </c>
      <c r="D36" s="20">
        <f>D33</f>
        <v>9054081.9000000004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activeCell="I18" sqref="I18"/>
      <selection pane="bottomLeft" activeCell="I18" sqref="I1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HOLLIS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636562.9</v>
      </c>
      <c r="D8" s="95">
        <f>'DOE25'!G9</f>
        <v>41651</v>
      </c>
      <c r="E8" s="95">
        <f>'DOE25'!H9</f>
        <v>12002.63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468.79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137434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4935.03</v>
      </c>
      <c r="D12" s="95">
        <f>'DOE25'!G13</f>
        <v>1926</v>
      </c>
      <c r="E12" s="95">
        <f>'DOE25'!H13</f>
        <v>35865</v>
      </c>
      <c r="F12" s="95">
        <f>'DOE25'!I13</f>
        <v>0</v>
      </c>
      <c r="G12" s="95">
        <f>'DOE25'!J13</f>
        <v>208123.81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4237.96</v>
      </c>
      <c r="D13" s="95">
        <f>'DOE25'!G14</f>
        <v>0</v>
      </c>
      <c r="E13" s="95">
        <f>'DOE25'!H14</f>
        <v>556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4759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15827.1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799465.78</v>
      </c>
      <c r="D18" s="41">
        <f>SUM(D8:D17)</f>
        <v>48336</v>
      </c>
      <c r="E18" s="41">
        <f>SUM(E8:E17)</f>
        <v>48423.63</v>
      </c>
      <c r="F18" s="41">
        <f>SUM(F8:F17)</f>
        <v>0</v>
      </c>
      <c r="G18" s="41">
        <f>SUM(G8:G17)</f>
        <v>208123.81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33457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5831.77</v>
      </c>
      <c r="D22" s="95">
        <f>'DOE25'!G23</f>
        <v>0</v>
      </c>
      <c r="E22" s="95">
        <f>'DOE25'!H23</f>
        <v>609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67770.7</v>
      </c>
      <c r="D23" s="95">
        <f>'DOE25'!G24</f>
        <v>6406</v>
      </c>
      <c r="E23" s="95">
        <f>'DOE25'!H24</f>
        <v>1800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31507.45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1972</v>
      </c>
      <c r="D29" s="95">
        <f>'DOE25'!G30</f>
        <v>11788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107081.92</v>
      </c>
      <c r="D31" s="41">
        <f>SUM(D21:D30)</f>
        <v>18194</v>
      </c>
      <c r="E31" s="41">
        <f>SUM(E21:E30)</f>
        <v>35866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4759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15827.1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290483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25383</v>
      </c>
      <c r="E44" s="95">
        <f>'DOE25'!H45</f>
        <v>12557.63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208123.81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50824.67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335249.09000000003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692383.86</v>
      </c>
      <c r="D49" s="41">
        <f>SUM(D34:D48)</f>
        <v>30142</v>
      </c>
      <c r="E49" s="41">
        <f>SUM(E34:E48)</f>
        <v>12557.63</v>
      </c>
      <c r="F49" s="41">
        <f>SUM(F34:F48)</f>
        <v>0</v>
      </c>
      <c r="G49" s="41">
        <f>SUM(G34:G48)</f>
        <v>208123.81</v>
      </c>
      <c r="H49" s="124"/>
      <c r="I49" s="124"/>
    </row>
    <row r="50" spans="1:9" ht="12" thickTop="1">
      <c r="A50" s="38" t="s">
        <v>895</v>
      </c>
      <c r="B50" s="2"/>
      <c r="C50" s="41">
        <f>C49+C31</f>
        <v>799465.78</v>
      </c>
      <c r="D50" s="41">
        <f>D49+D31</f>
        <v>48336</v>
      </c>
      <c r="E50" s="41">
        <f>E49+E31</f>
        <v>48423.63</v>
      </c>
      <c r="F50" s="41">
        <f>F49+F31</f>
        <v>0</v>
      </c>
      <c r="G50" s="41">
        <f>G49+G31</f>
        <v>208123.81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7329864.7699999996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27965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6097.07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192446.32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12384.82</v>
      </c>
      <c r="D60" s="95">
        <f>SUM('DOE25'!G97:G109)</f>
        <v>0</v>
      </c>
      <c r="E60" s="95">
        <f>SUM('DOE25'!H97:H109)</f>
        <v>17064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46446.89</v>
      </c>
      <c r="D61" s="130">
        <f>SUM(D56:D60)</f>
        <v>192446.32</v>
      </c>
      <c r="E61" s="130">
        <f>SUM(E56:E60)</f>
        <v>17064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7376311.6599999992</v>
      </c>
      <c r="D62" s="22">
        <f>D55+D61</f>
        <v>192446.32</v>
      </c>
      <c r="E62" s="22">
        <f>E55+E61</f>
        <v>17064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925667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1296854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802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2223323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61927.61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68509.509999999995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8764.15</v>
      </c>
      <c r="D76" s="95">
        <f>SUM('DOE25'!G130:G134)</f>
        <v>2527.0100000000002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139201.26999999999</v>
      </c>
      <c r="D77" s="130">
        <f>SUM(D71:D76)</f>
        <v>2527.0100000000002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2362524.27</v>
      </c>
      <c r="D80" s="130">
        <f>SUM(D78:D79)+D77+D69</f>
        <v>2527.0100000000002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8652.56</v>
      </c>
      <c r="D87" s="95">
        <f>SUM('DOE25'!G152:G160)</f>
        <v>23271.42</v>
      </c>
      <c r="E87" s="95">
        <f>SUM('DOE25'!H152:H160)</f>
        <v>217040.7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8652.56</v>
      </c>
      <c r="D90" s="131">
        <f>SUM(D84:D89)</f>
        <v>23271.42</v>
      </c>
      <c r="E90" s="131">
        <f>SUM(E84:E89)</f>
        <v>217040.7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12000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131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131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12000</v>
      </c>
    </row>
    <row r="103" spans="1:7" ht="12.75" thickTop="1" thickBot="1">
      <c r="A103" s="33" t="s">
        <v>765</v>
      </c>
      <c r="C103" s="86">
        <f>C62+C80+C90+C102</f>
        <v>9747619.4900000002</v>
      </c>
      <c r="D103" s="86">
        <f>D62+D80+D90+D102</f>
        <v>218244.75</v>
      </c>
      <c r="E103" s="86">
        <f>E62+E80+E90+E102</f>
        <v>234104.7</v>
      </c>
      <c r="F103" s="86">
        <f>F62+F80+F90+F102</f>
        <v>0</v>
      </c>
      <c r="G103" s="86">
        <f>G62+G80+G102</f>
        <v>12000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3928395.62</v>
      </c>
      <c r="D108" s="24" t="s">
        <v>289</v>
      </c>
      <c r="E108" s="95">
        <f>('DOE25'!L275)+('DOE25'!L294)+('DOE25'!L313)</f>
        <v>72005.320000000007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1555891.51</v>
      </c>
      <c r="D109" s="24" t="s">
        <v>289</v>
      </c>
      <c r="E109" s="95">
        <f>('DOE25'!L276)+('DOE25'!L295)+('DOE25'!L314)</f>
        <v>135665.15000000002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5484287.1299999999</v>
      </c>
      <c r="D114" s="86">
        <f>SUM(D108:D113)</f>
        <v>0</v>
      </c>
      <c r="E114" s="86">
        <f>SUM(E108:E113)</f>
        <v>207670.47000000003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910657.77</v>
      </c>
      <c r="D117" s="24" t="s">
        <v>289</v>
      </c>
      <c r="E117" s="95">
        <f>+('DOE25'!L280)+('DOE25'!L299)+('DOE25'!L318)</f>
        <v>1920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310583.41000000003</v>
      </c>
      <c r="D118" s="24" t="s">
        <v>289</v>
      </c>
      <c r="E118" s="95">
        <f>+('DOE25'!L281)+('DOE25'!L300)+('DOE25'!L319)</f>
        <v>13162.47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449452.31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617268.78999999992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943031.40999999992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418971.63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6314.13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216888.53999999998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3649965.3200000003</v>
      </c>
      <c r="D127" s="86">
        <f>SUM(D117:D126)</f>
        <v>216888.53999999998</v>
      </c>
      <c r="E127" s="86">
        <f>SUM(E117:E126)</f>
        <v>21396.6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175321.5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205008.5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12000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392330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9526582.4499999993</v>
      </c>
      <c r="D144" s="86">
        <f>(D114+D127+D143)</f>
        <v>216888.53999999998</v>
      </c>
      <c r="E144" s="86">
        <f>(E114+E127+E143)</f>
        <v>229067.07000000004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07/95</v>
      </c>
      <c r="C151" s="152" t="str">
        <f>'DOE25'!G490</f>
        <v>07/95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08/14</v>
      </c>
      <c r="C152" s="152" t="str">
        <f>'DOE25'!G491</f>
        <v>08/14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1960000</v>
      </c>
      <c r="C153" s="137">
        <f>'DOE25'!G492</f>
        <v>2937516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5.82</v>
      </c>
      <c r="C154" s="137">
        <f>'DOE25'!G493</f>
        <v>4.25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380000</v>
      </c>
      <c r="C155" s="137">
        <f>'DOE25'!G494</f>
        <v>290043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670043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95000</v>
      </c>
      <c r="C157" s="137">
        <f>'DOE25'!G496</f>
        <v>80322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175322</v>
      </c>
    </row>
    <row r="158" spans="1:9">
      <c r="A158" s="22" t="s">
        <v>35</v>
      </c>
      <c r="B158" s="137">
        <f>'DOE25'!F497</f>
        <v>285000</v>
      </c>
      <c r="C158" s="137">
        <f>'DOE25'!G497</f>
        <v>209721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494721</v>
      </c>
    </row>
    <row r="159" spans="1:9">
      <c r="A159" s="22" t="s">
        <v>36</v>
      </c>
      <c r="B159" s="137">
        <f>'DOE25'!F498</f>
        <v>26172.51</v>
      </c>
      <c r="C159" s="137">
        <f>'DOE25'!G498</f>
        <v>585279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611451.51</v>
      </c>
    </row>
    <row r="160" spans="1:9">
      <c r="A160" s="22" t="s">
        <v>37</v>
      </c>
      <c r="B160" s="137">
        <f>'DOE25'!F499</f>
        <v>311172.51</v>
      </c>
      <c r="C160" s="137">
        <f>'DOE25'!G499</f>
        <v>795000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1106172.51</v>
      </c>
    </row>
    <row r="161" spans="1:7">
      <c r="A161" s="22" t="s">
        <v>38</v>
      </c>
      <c r="B161" s="137">
        <f>'DOE25'!F500</f>
        <v>95000</v>
      </c>
      <c r="C161" s="137">
        <f>'DOE25'!G500</f>
        <v>74870.45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169870.45</v>
      </c>
    </row>
    <row r="162" spans="1:7">
      <c r="A162" s="22" t="s">
        <v>39</v>
      </c>
      <c r="B162" s="137">
        <f>'DOE25'!F501</f>
        <v>14535</v>
      </c>
      <c r="C162" s="137">
        <f>'DOE25'!G501</f>
        <v>190129.55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204664.55</v>
      </c>
    </row>
    <row r="163" spans="1:7">
      <c r="A163" s="22" t="s">
        <v>246</v>
      </c>
      <c r="B163" s="137">
        <f>'DOE25'!F502</f>
        <v>109535</v>
      </c>
      <c r="C163" s="137">
        <f>'DOE25'!G502</f>
        <v>265000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374535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I18" sqref="I18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0" t="s">
        <v>740</v>
      </c>
      <c r="B1" s="280"/>
      <c r="C1" s="280"/>
      <c r="D1" s="280"/>
    </row>
    <row r="2" spans="1:4">
      <c r="A2" s="187" t="s">
        <v>717</v>
      </c>
      <c r="B2" s="186" t="str">
        <f>'DOE25'!A2</f>
        <v>HOLLIS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14647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14647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4000401</v>
      </c>
      <c r="D10" s="182">
        <f>ROUND((C10/$C$28)*100,1)</f>
        <v>41.7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1691557</v>
      </c>
      <c r="D11" s="182">
        <f>ROUND((C11/$C$28)*100,1)</f>
        <v>17.600000000000001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912578</v>
      </c>
      <c r="D15" s="182">
        <f t="shared" ref="D15:D27" si="0">ROUND((C15/$C$28)*100,1)</f>
        <v>9.5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323746</v>
      </c>
      <c r="D16" s="182">
        <f t="shared" si="0"/>
        <v>3.4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455766</v>
      </c>
      <c r="D17" s="182">
        <f t="shared" si="0"/>
        <v>4.8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617269</v>
      </c>
      <c r="D18" s="182">
        <f t="shared" si="0"/>
        <v>6.4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943031</v>
      </c>
      <c r="D20" s="182">
        <f t="shared" si="0"/>
        <v>9.8000000000000007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418972</v>
      </c>
      <c r="D21" s="182">
        <f t="shared" si="0"/>
        <v>4.4000000000000004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205009</v>
      </c>
      <c r="D25" s="182">
        <f t="shared" si="0"/>
        <v>2.1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24442.679999999993</v>
      </c>
      <c r="D27" s="182">
        <f t="shared" si="0"/>
        <v>0.3</v>
      </c>
    </row>
    <row r="28" spans="1:4">
      <c r="B28" s="187" t="s">
        <v>723</v>
      </c>
      <c r="C28" s="180">
        <f>SUM(C10:C27)</f>
        <v>9592771.6799999997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9592771.6799999997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175322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7329865</v>
      </c>
      <c r="D35" s="182">
        <f t="shared" ref="D35:D40" si="1">ROUND((C35/$C$41)*100,1)</f>
        <v>73.2</v>
      </c>
    </row>
    <row r="36" spans="1:4">
      <c r="B36" s="185" t="s">
        <v>743</v>
      </c>
      <c r="C36" s="179">
        <f>SUM('DOE25'!F111:J111)-SUM('DOE25'!G96:G109)+('DOE25'!F173+'DOE25'!F174+'DOE25'!I173+'DOE25'!I174)-C35</f>
        <v>63510.659999999218</v>
      </c>
      <c r="D36" s="182">
        <f t="shared" si="1"/>
        <v>0.6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2223323</v>
      </c>
      <c r="D37" s="182">
        <f t="shared" si="1"/>
        <v>22.2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141728</v>
      </c>
      <c r="D38" s="182">
        <f t="shared" si="1"/>
        <v>1.4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248965</v>
      </c>
      <c r="D39" s="182">
        <f t="shared" si="1"/>
        <v>2.5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10007391.66</v>
      </c>
      <c r="D41" s="184">
        <f>SUM(D35:D40)</f>
        <v>99.9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>
      <c r="A2" s="297" t="s">
        <v>767</v>
      </c>
      <c r="B2" s="298"/>
      <c r="C2" s="298"/>
      <c r="D2" s="298"/>
      <c r="E2" s="298"/>
      <c r="F2" s="291" t="str">
        <f>'DOE25'!A2</f>
        <v>HOLLIS</v>
      </c>
      <c r="G2" s="292"/>
      <c r="H2" s="292"/>
      <c r="I2" s="292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2012-10-22T13:29:56Z</cp:lastPrinted>
  <dcterms:created xsi:type="dcterms:W3CDTF">1997-12-04T19:04:30Z</dcterms:created>
  <dcterms:modified xsi:type="dcterms:W3CDTF">2012-11-21T14:44:17Z</dcterms:modified>
</cp:coreProperties>
</file>