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7" i="2" l="1"/>
  <c r="G525" i="1" l="1"/>
  <c r="F525" i="1"/>
  <c r="G520" i="1"/>
  <c r="F520" i="1"/>
  <c r="I525" i="1"/>
  <c r="H526" i="1"/>
  <c r="H525" i="1"/>
  <c r="G526" i="1"/>
  <c r="F526" i="1"/>
  <c r="J521" i="1"/>
  <c r="J520" i="1"/>
  <c r="I521" i="1"/>
  <c r="I520" i="1"/>
  <c r="H521" i="1"/>
  <c r="H520" i="1"/>
  <c r="G521" i="1"/>
  <c r="F521" i="1"/>
  <c r="H522" i="1"/>
  <c r="G522" i="1"/>
  <c r="F522" i="1"/>
  <c r="I526" i="1"/>
  <c r="J525" i="1"/>
  <c r="K520" i="1"/>
  <c r="H527" i="1"/>
  <c r="G527" i="1"/>
  <c r="F527" i="1"/>
  <c r="I532" i="1"/>
  <c r="I531" i="1"/>
  <c r="I530" i="1"/>
  <c r="H532" i="1"/>
  <c r="H531" i="1"/>
  <c r="H530" i="1"/>
  <c r="G532" i="1"/>
  <c r="G531" i="1"/>
  <c r="G530" i="1"/>
  <c r="F532" i="1"/>
  <c r="F531" i="1"/>
  <c r="F530" i="1"/>
  <c r="J358" i="1"/>
  <c r="J357" i="1"/>
  <c r="G358" i="1"/>
  <c r="G357" i="1"/>
  <c r="F358" i="1"/>
  <c r="F357" i="1"/>
  <c r="H204" i="1"/>
  <c r="H203" i="1"/>
  <c r="G611" i="1"/>
  <c r="F611" i="1"/>
  <c r="G610" i="1"/>
  <c r="F610" i="1"/>
  <c r="I603" i="1"/>
  <c r="H603" i="1"/>
  <c r="H594" i="1"/>
  <c r="H295" i="1"/>
  <c r="H276" i="1"/>
  <c r="F275" i="1"/>
  <c r="K303" i="1"/>
  <c r="I300" i="1"/>
  <c r="H300" i="1"/>
  <c r="G300" i="1"/>
  <c r="F300" i="1"/>
  <c r="H299" i="1"/>
  <c r="G299" i="1"/>
  <c r="F299" i="1"/>
  <c r="J295" i="1"/>
  <c r="I295" i="1"/>
  <c r="G295" i="1"/>
  <c r="F295" i="1"/>
  <c r="J294" i="1"/>
  <c r="I294" i="1"/>
  <c r="H294" i="1"/>
  <c r="G294" i="1"/>
  <c r="F294" i="1"/>
  <c r="I299" i="1"/>
  <c r="G297" i="1"/>
  <c r="F297" i="1"/>
  <c r="I285" i="1"/>
  <c r="K284" i="1"/>
  <c r="I281" i="1"/>
  <c r="G281" i="1"/>
  <c r="F281" i="1"/>
  <c r="G280" i="1"/>
  <c r="F280" i="1"/>
  <c r="I278" i="1"/>
  <c r="H278" i="1"/>
  <c r="G276" i="1"/>
  <c r="F276" i="1"/>
  <c r="I276" i="1"/>
  <c r="I275" i="1"/>
  <c r="G275" i="1"/>
  <c r="H281" i="1"/>
  <c r="H280" i="1"/>
  <c r="J276" i="1"/>
  <c r="J275" i="1"/>
  <c r="H275" i="1"/>
  <c r="F196" i="1"/>
  <c r="J208" i="1"/>
  <c r="I208" i="1"/>
  <c r="H208" i="1"/>
  <c r="G208" i="1"/>
  <c r="F208" i="1"/>
  <c r="H207" i="1"/>
  <c r="I206" i="1"/>
  <c r="H206" i="1"/>
  <c r="G206" i="1"/>
  <c r="F206" i="1"/>
  <c r="K203" i="1"/>
  <c r="J203" i="1"/>
  <c r="I203" i="1"/>
  <c r="G203" i="1"/>
  <c r="F203" i="1"/>
  <c r="G202" i="1"/>
  <c r="F202" i="1"/>
  <c r="K201" i="1"/>
  <c r="H201" i="1"/>
  <c r="G201" i="1"/>
  <c r="F201" i="1"/>
  <c r="H197" i="1"/>
  <c r="J197" i="1"/>
  <c r="I197" i="1"/>
  <c r="G197" i="1"/>
  <c r="F197" i="1"/>
  <c r="K196" i="1"/>
  <c r="G196" i="1"/>
  <c r="J226" i="1"/>
  <c r="I226" i="1"/>
  <c r="H226" i="1"/>
  <c r="G226" i="1"/>
  <c r="F226" i="1"/>
  <c r="H225" i="1"/>
  <c r="I224" i="1"/>
  <c r="H224" i="1"/>
  <c r="G224" i="1"/>
  <c r="F224" i="1"/>
  <c r="H222" i="1"/>
  <c r="H221" i="1"/>
  <c r="K221" i="1"/>
  <c r="J221" i="1"/>
  <c r="I221" i="1"/>
  <c r="G221" i="1"/>
  <c r="F221" i="1"/>
  <c r="G220" i="1"/>
  <c r="F220" i="1"/>
  <c r="K219" i="1"/>
  <c r="H219" i="1"/>
  <c r="G219" i="1"/>
  <c r="F219" i="1"/>
  <c r="H215" i="1"/>
  <c r="J215" i="1"/>
  <c r="I215" i="1"/>
  <c r="G215" i="1"/>
  <c r="F215" i="1"/>
  <c r="K214" i="1"/>
  <c r="G214" i="1"/>
  <c r="F214" i="1"/>
  <c r="H243" i="1"/>
  <c r="G233" i="1"/>
  <c r="F233" i="1"/>
  <c r="G232" i="1"/>
  <c r="F232" i="1"/>
  <c r="H233" i="1"/>
  <c r="H232" i="1"/>
  <c r="J224" i="1"/>
  <c r="K222" i="1"/>
  <c r="J222" i="1"/>
  <c r="I222" i="1"/>
  <c r="G222" i="1"/>
  <c r="F222" i="1"/>
  <c r="K220" i="1"/>
  <c r="J220" i="1"/>
  <c r="I220" i="1"/>
  <c r="H220" i="1"/>
  <c r="I219" i="1"/>
  <c r="J219" i="1"/>
  <c r="I217" i="1"/>
  <c r="G217" i="1"/>
  <c r="F217" i="1"/>
  <c r="K217" i="1"/>
  <c r="J217" i="1"/>
  <c r="H217" i="1"/>
  <c r="J214" i="1"/>
  <c r="I214" i="1"/>
  <c r="H214" i="1"/>
  <c r="H254" i="1"/>
  <c r="J206" i="1"/>
  <c r="K204" i="1"/>
  <c r="J204" i="1"/>
  <c r="I204" i="1"/>
  <c r="G204" i="1"/>
  <c r="K202" i="1"/>
  <c r="J202" i="1"/>
  <c r="I202" i="1"/>
  <c r="H202" i="1"/>
  <c r="I201" i="1"/>
  <c r="J201" i="1"/>
  <c r="G199" i="1"/>
  <c r="F199" i="1"/>
  <c r="J199" i="1"/>
  <c r="I199" i="1"/>
  <c r="H199" i="1"/>
  <c r="K197" i="1"/>
  <c r="J196" i="1"/>
  <c r="I196" i="1"/>
  <c r="H196" i="1"/>
  <c r="G157" i="1"/>
  <c r="F40" i="2" l="1"/>
  <c r="D39" i="2"/>
  <c r="G654" i="1" l="1"/>
  <c r="F47" i="2" l="1"/>
  <c r="E47" i="2"/>
  <c r="D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1" i="10"/>
  <c r="C12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J351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L350" i="1"/>
  <c r="I661" i="1"/>
  <c r="A31" i="1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F49" i="2"/>
  <c r="F18" i="2"/>
  <c r="G160" i="2"/>
  <c r="G157" i="2"/>
  <c r="E143" i="2"/>
  <c r="G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C69" i="2" l="1"/>
  <c r="J651" i="1"/>
  <c r="J649" i="1"/>
  <c r="J433" i="1"/>
  <c r="F433" i="1"/>
  <c r="I191" i="1"/>
  <c r="G162" i="2"/>
  <c r="G156" i="2"/>
  <c r="G155" i="2"/>
  <c r="K433" i="1"/>
  <c r="G133" i="2" s="1"/>
  <c r="G143" i="2" s="1"/>
  <c r="G144" i="2" s="1"/>
  <c r="C114" i="2"/>
  <c r="E102" i="2"/>
  <c r="G163" i="2"/>
  <c r="E90" i="2"/>
  <c r="J653" i="1"/>
  <c r="J652" i="1"/>
  <c r="I433" i="1"/>
  <c r="G433" i="1"/>
  <c r="J616" i="1"/>
  <c r="D102" i="2"/>
  <c r="F544" i="1"/>
  <c r="G570" i="1"/>
  <c r="I662" i="1"/>
  <c r="F31" i="13"/>
  <c r="G31" i="13"/>
  <c r="G33" i="13" s="1"/>
  <c r="I337" i="1"/>
  <c r="I351" i="1" s="1"/>
  <c r="C13" i="10"/>
  <c r="L289" i="1"/>
  <c r="F659" i="1" s="1"/>
  <c r="E111" i="2"/>
  <c r="E114" i="2" s="1"/>
  <c r="C10" i="10"/>
  <c r="C127" i="2"/>
  <c r="J648" i="1"/>
  <c r="J631" i="1"/>
  <c r="L361" i="1"/>
  <c r="F139" i="1"/>
  <c r="J641" i="1"/>
  <c r="J618" i="1"/>
  <c r="F50" i="2"/>
  <c r="D50" i="2"/>
  <c r="A22" i="12"/>
  <c r="G621" i="1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G544" i="1"/>
  <c r="L544" i="1"/>
  <c r="H544" i="1"/>
  <c r="K550" i="1"/>
  <c r="F143" i="2"/>
  <c r="F144" i="2" s="1"/>
  <c r="J270" i="1" l="1"/>
  <c r="K551" i="1"/>
  <c r="L570" i="1"/>
  <c r="J647" i="1"/>
  <c r="C27" i="10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C28" i="10" l="1"/>
  <c r="D27" i="10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12" i="10" l="1"/>
  <c r="D17" i="10"/>
  <c r="D19" i="10"/>
  <c r="D15" i="10"/>
  <c r="D25" i="10"/>
  <c r="D24" i="10"/>
  <c r="D16" i="10"/>
  <c r="D21" i="10"/>
  <c r="D11" i="10"/>
  <c r="C30" i="10"/>
  <c r="D22" i="10"/>
  <c r="D23" i="10"/>
  <c r="D18" i="10"/>
  <c r="D20" i="10"/>
  <c r="D26" i="10"/>
  <c r="D13" i="10"/>
  <c r="D10" i="10"/>
  <c r="D41" i="10"/>
  <c r="I666" i="1"/>
  <c r="I671" i="1"/>
  <c r="C7" i="10" s="1"/>
  <c r="G671" i="1"/>
  <c r="C5" i="10" s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<sst xmlns="http://schemas.openxmlformats.org/spreadsheetml/2006/main" count="3948" uniqueCount="915">
  <si>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</si>
  <si>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</si>
  <si>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</si>
  <si>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</si>
  <si>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</si>
  <si>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</si>
  <si>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</si>
  <si>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</si>
  <si>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</si>
  <si>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</si>
  <si>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</si>
  <si>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</si>
  <si>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</si>
  <si>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</si>
  <si>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</si>
  <si>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</si>
  <si>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</si>
  <si>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</si>
  <si>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</si>
  <si>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</si>
  <si>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</si>
  <si>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</si>
  <si>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</si>
  <si>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</si>
  <si>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</si>
  <si>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</si>
  <si>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</si>
  <si>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</si>
  <si>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</si>
  <si>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</si>
  <si>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</si>
  <si>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</si>
  <si>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</si>
  <si>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</si>
  <si>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</si>
  <si>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</si>
  <si>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</si>
  <si>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</si>
  <si>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</si>
  <si>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</si>
  <si>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</si>
  <si>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</si>
  <si>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</si>
  <si>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</si>
  <si>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</si>
  <si>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</si>
  <si>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</si>
  <si>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</si>
  <si>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</si>
  <si>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</si>
  <si>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</si>
  <si>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</si>
  <si>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</si>
  <si>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</si>
  <si>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</si>
  <si>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</si>
  <si>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</si>
  <si>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</si>
  <si>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</si>
  <si>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</si>
  <si>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</si>
  <si>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</si>
  <si>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</si>
  <si>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</si>
  <si>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</si>
  <si>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</si>
  <si>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</si>
  <si>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</si>
  <si>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</si>
  <si>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</si>
  <si>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</si>
  <si>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</si>
  <si>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</si>
  <si>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</si>
  <si>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</si>
  <si>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</si>
  <si>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</si>
  <si>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</si>
  <si>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</si>
  <si>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</si>
  <si>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</si>
  <si>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</si>
  <si>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</si>
  <si>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</si>
  <si>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</si>
  <si>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</si>
  <si>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</si>
  <si>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</si>
  <si>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</si>
  <si>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</si>
  <si>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</si>
  <si>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</si>
  <si>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</si>
  <si>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</si>
  <si>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</si>
  <si>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</si>
  <si>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</si>
  <si>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</si>
  <si>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</si>
  <si>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</si>
  <si>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</si>
  <si>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</si>
  <si>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</si>
  <si>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</si>
  <si>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</si>
  <si>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</si>
  <si>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</si>
  <si>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</si>
  <si>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</si>
  <si>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</si>
  <si>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</si>
  <si>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</si>
  <si>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</si>
  <si>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</si>
  <si>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</si>
  <si>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</si>
  <si>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</si>
  <si>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</si>
  <si>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</si>
  <si>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</si>
  <si>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</si>
  <si>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</si>
  <si>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</si>
  <si>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</si>
  <si>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</si>
  <si>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</si>
  <si>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</si>
  <si>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</si>
  <si>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</si>
  <si>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</si>
  <si>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</si>
  <si>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</si>
  <si>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</si>
  <si>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</si>
  <si>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</si>
  <si>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</si>
  <si>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</si>
  <si>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</si>
  <si>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</si>
  <si>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</si>
  <si>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</si>
  <si>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</si>
  <si>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</si>
  <si>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</si>
  <si>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</si>
  <si>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</si>
  <si>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</si>
  <si>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</si>
  <si>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</si>
  <si>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</si>
  <si>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</si>
  <si>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</si>
  <si>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</si>
  <si>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</si>
  <si>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</si>
  <si>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</si>
  <si>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</si>
  <si>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</si>
  <si>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</si>
  <si>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</si>
  <si>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</si>
  <si>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</si>
  <si>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</si>
  <si>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</si>
  <si>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</si>
  <si>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</si>
  <si>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</si>
  <si>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</si>
  <si>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</si>
  <si>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</si>
  <si>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</si>
  <si>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</si>
  <si>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</si>
  <si>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</si>
  <si>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</si>
  <si>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</si>
  <si>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</si>
  <si>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</si>
  <si>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</si>
  <si>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</si>
  <si>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</si>
  <si>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</si>
  <si>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</si>
  <si>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</si>
  <si>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</si>
  <si>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</si>
  <si>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</si>
  <si>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</si>
  <si>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</si>
  <si>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</si>
  <si>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</si>
  <si>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</si>
  <si>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</si>
  <si>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</si>
  <si>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</si>
  <si>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</si>
  <si>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</si>
  <si>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</si>
  <si>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</si>
  <si>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</si>
  <si>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</si>
  <si>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</si>
  <si>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</si>
  <si>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</si>
  <si>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</si>
  <si>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</si>
  <si>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</si>
  <si>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</si>
  <si>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</si>
  <si>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</si>
  <si>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</si>
  <si>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</si>
  <si>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</si>
  <si>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</si>
  <si>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</si>
  <si>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</si>
  <si>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</si>
  <si>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</si>
  <si>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</si>
  <si>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</si>
  <si>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</si>
  <si>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</si>
  <si>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</si>
  <si>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</si>
  <si>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</si>
  <si>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</si>
  <si>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</si>
  <si>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</si>
  <si>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</si>
  <si>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</si>
  <si>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</si>
  <si>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</si>
  <si>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</si>
  <si>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</si>
  <si>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</si>
  <si>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</si>
  <si>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</si>
  <si>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</si>
  <si>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</si>
  <si>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</si>
  <si>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</si>
  <si>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</si>
  <si>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</si>
  <si>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</si>
  <si>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</si>
  <si>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</si>
  <si>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</si>
  <si>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</si>
  <si>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</si>
  <si>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</si>
  <si>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</si>
  <si>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</si>
  <si>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</si>
  <si>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</si>
  <si>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</si>
  <si>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</si>
  <si>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</si>
  <si>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</si>
  <si>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</si>
  <si>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</si>
  <si>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</si>
  <si>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</si>
  <si>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</si>
  <si>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</si>
  <si>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</si>
  <si>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</si>
  <si>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</si>
  <si>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</si>
  <si>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</si>
  <si>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</si>
  <si>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</si>
  <si>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</si>
  <si>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</si>
  <si>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</si>
  <si>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</si>
  <si>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</si>
  <si>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</si>
  <si>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</si>
  <si>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</si>
  <si>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</si>
  <si>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</si>
  <si>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</si>
  <si>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</si>
  <si>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</si>
  <si>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</si>
  <si>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</si>
  <si>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</si>
  <si>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</si>
  <si>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</si>
  <si>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</si>
  <si>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</si>
  <si>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</si>
  <si>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</si>
  <si>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</si>
  <si>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</si>
  <si>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</si>
  <si>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</si>
  <si>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</si>
  <si>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</si>
  <si>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</si>
  <si>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</si>
  <si>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</si>
  <si>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</si>
  <si>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</si>
  <si>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</si>
  <si>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</si>
  <si>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</si>
  <si>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</si>
  <si>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</si>
  <si>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</si>
  <si>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</si>
  <si>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</si>
  <si>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</si>
  <si>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</si>
  <si>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</si>
  <si>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</si>
  <si>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</si>
  <si>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</si>
  <si>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</si>
  <si>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</si>
  <si>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</si>
  <si>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</si>
  <si>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</si>
  <si>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</si>
  <si>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</si>
  <si>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</si>
  <si>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</si>
  <si>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</si>
  <si>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</si>
  <si>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</si>
  <si>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</si>
  <si>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</si>
  <si>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</si>
  <si>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</si>
  <si>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</si>
  <si>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</si>
  <si>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</si>
  <si>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</si>
  <si>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</si>
  <si>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</si>
  <si>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</si>
  <si>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</si>
  <si>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</si>
  <si>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</si>
  <si>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</si>
  <si>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</si>
  <si>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</si>
  <si>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</si>
  <si>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</si>
  <si>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</si>
  <si>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</si>
  <si>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</si>
  <si>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</si>
  <si>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</si>
  <si>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</si>
  <si>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</si>
  <si>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</si>
  <si>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</si>
  <si>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</si>
  <si>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</si>
  <si>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</si>
  <si>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</si>
  <si>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</si>
  <si>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</si>
  <si>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</si>
  <si>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</si>
  <si>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</si>
  <si>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</si>
  <si>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</si>
  <si>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</si>
  <si>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</si>
  <si>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</si>
  <si>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</si>
  <si>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</si>
  <si>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</si>
  <si>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</si>
  <si>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</si>
  <si>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</si>
  <si>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</si>
  <si>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</si>
  <si>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</si>
  <si>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</si>
  <si>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</si>
  <si>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</si>
  <si>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</si>
  <si>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</si>
  <si>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</si>
  <si>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</si>
  <si>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</si>
  <si>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</si>
  <si>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</si>
  <si>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</si>
  <si>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</si>
  <si>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</si>
  <si>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</si>
  <si>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</si>
  <si>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</si>
  <si>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</si>
  <si>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</si>
  <si>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</si>
  <si>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</si>
  <si>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</si>
  <si>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</si>
  <si>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</si>
  <si>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</si>
  <si>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</si>
  <si>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</si>
  <si>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</si>
  <si>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</si>
  <si>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</si>
  <si>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</si>
  <si>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</si>
  <si>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</si>
  <si>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</si>
  <si>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</si>
  <si>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</si>
  <si>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</si>
  <si>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</si>
  <si>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</si>
  <si>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</si>
  <si>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</si>
  <si>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</si>
  <si>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</si>
  <si>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</si>
  <si>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</si>
  <si>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</si>
  <si>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</si>
  <si>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</si>
  <si>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</si>
  <si>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</si>
  <si>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</si>
  <si>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</si>
  <si>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</si>
  <si>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</si>
  <si>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</si>
  <si>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</si>
  <si>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</si>
  <si>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</si>
  <si>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</si>
  <si>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</si>
  <si>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</si>
  <si>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</si>
  <si>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</si>
  <si>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</si>
  <si>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</si>
  <si>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</si>
  <si>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</si>
  <si>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</si>
  <si>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</si>
  <si>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</si>
  <si>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</si>
  <si>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</si>
  <si>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</si>
  <si>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</si>
  <si>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</si>
  <si>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</si>
  <si>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</si>
  <si>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</si>
  <si>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</si>
  <si>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</si>
  <si>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</si>
  <si>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</si>
  <si>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</si>
  <si>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</si>
  <si>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</si>
  <si>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</si>
  <si>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</si>
  <si>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</si>
  <si>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</si>
  <si>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</si>
  <si>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</si>
  <si>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</si>
  <si>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</si>
  <si>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</si>
  <si>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</si>
  <si>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</si>
  <si>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</si>
  <si>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</si>
  <si>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</si>
  <si>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</si>
  <si>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</si>
  <si>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</si>
  <si>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</si>
  <si>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</si>
  <si>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</si>
  <si>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</si>
  <si>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</si>
  <si>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</si>
  <si>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</si>
  <si>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</si>
  <si>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</si>
  <si>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</si>
  <si>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</si>
  <si>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</si>
  <si>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</si>
  <si>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</si>
  <si>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</si>
  <si>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</si>
  <si>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</si>
  <si>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</si>
  <si>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</si>
  <si>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</si>
  <si>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</si>
  <si>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</si>
  <si>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</si>
  <si>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</si>
  <si>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</si>
  <si>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</si>
  <si>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</si>
  <si>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</si>
  <si>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</si>
  <si>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</si>
  <si>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</si>
  <si>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</si>
  <si>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</si>
  <si>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</si>
  <si>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</si>
  <si>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</si>
  <si>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</si>
  <si>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</si>
  <si>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</si>
  <si>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</si>
  <si>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</si>
  <si>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</si>
  <si>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</si>
  <si>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</si>
  <si>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</si>
  <si>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</si>
  <si>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</si>
  <si>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</si>
  <si>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</si>
  <si>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</si>
  <si>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</si>
  <si>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</si>
  <si>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</si>
  <si>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</si>
  <si>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</si>
  <si>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</si>
  <si>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</si>
  <si>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</si>
  <si>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</si>
  <si>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</si>
  <si>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</si>
  <si>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</si>
  <si>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</si>
  <si>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</si>
  <si>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</si>
  <si>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</si>
  <si>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</si>
  <si>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</si>
  <si>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</si>
  <si>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</si>
  <si>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</si>
  <si>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</si>
  <si>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</si>
  <si>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</si>
  <si>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</si>
  <si>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</si>
  <si>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</si>
  <si>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</si>
  <si>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</si>
  <si>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</si>
  <si>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</si>
  <si>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</si>
  <si>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</si>
  <si>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</si>
  <si>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</si>
  <si>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</si>
  <si>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</si>
  <si>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</si>
  <si>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</si>
  <si>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</si>
  <si>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</si>
  <si>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</si>
  <si>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</si>
  <si>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</si>
  <si>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</si>
  <si>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</si>
  <si>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</si>
  <si>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</si>
  <si>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</si>
  <si>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</si>
  <si>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</si>
  <si>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</si>
  <si>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</si>
  <si>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</si>
  <si>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</si>
  <si>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</si>
  <si>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</si>
  <si>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</si>
  <si>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</si>
  <si>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</si>
  <si>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</si>
  <si>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</si>
  <si>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</si>
  <si>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</si>
  <si>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</si>
  <si>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</si>
  <si>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</si>
  <si>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</si>
  <si>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</si>
  <si>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</si>
  <si>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</si>
  <si>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</si>
  <si>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</si>
  <si>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</si>
  <si>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</si>
  <si>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</si>
  <si>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</si>
  <si>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</si>
  <si>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</si>
  <si>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</si>
  <si>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</si>
  <si>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</si>
  <si>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</si>
  <si>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</si>
  <si>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</si>
  <si>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</si>
  <si>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</si>
  <si>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</si>
  <si>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</si>
  <si>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</si>
  <si>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</si>
  <si>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</si>
  <si>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</si>
  <si>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</si>
  <si>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</si>
  <si>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</si>
  <si>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</si>
  <si>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</si>
  <si>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</si>
  <si>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</si>
  <si>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</si>
  <si>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</si>
  <si>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</si>
  <si>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</si>
  <si>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</si>
  <si>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</si>
  <si>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</si>
  <si>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</si>
  <si>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</si>
  <si>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</si>
  <si>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</si>
  <si>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</si>
  <si>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</si>
  <si>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</si>
  <si>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</si>
  <si>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</si>
  <si>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</si>
  <si>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</si>
  <si>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</si>
  <si>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</si>
  <si>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</si>
  <si>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</si>
  <si>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</si>
  <si>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</si>
  <si>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</si>
  <si>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</si>
  <si>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</si>
  <si>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</si>
  <si>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</si>
  <si>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</si>
  <si>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</si>
  <si>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</si>
  <si>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</si>
  <si>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</si>
  <si>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</si>
  <si>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</si>
  <si>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</si>
  <si>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</si>
  <si>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</si>
  <si>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</si>
  <si>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</si>
  <si>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</si>
  <si>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</si>
  <si>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</si>
  <si>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</si>
  <si>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</si>
  <si>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</si>
  <si>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</si>
  <si>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</si>
  <si>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</si>
  <si>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</si>
  <si>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</si>
  <si>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</si>
  <si>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</si>
  <si>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</si>
  <si>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</si>
  <si>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</si>
  <si>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</si>
  <si>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</si>
  <si>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</si>
  <si>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</si>
  <si>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</si>
  <si>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</si>
  <si>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</si>
  <si>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</si>
  <si>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</si>
  <si>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</si>
  <si>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</si>
  <si>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</si>
  <si>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</si>
  <si>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</si>
  <si>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</si>
  <si>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</si>
  <si>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</si>
  <si>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</si>
  <si>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</si>
  <si>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</si>
  <si>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</si>
  <si>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</si>
  <si>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</si>
  <si>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</si>
  <si>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</si>
  <si>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</si>
  <si>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</si>
  <si>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</si>
  <si>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</si>
  <si>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</si>
  <si>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</si>
  <si>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</si>
  <si>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</si>
  <si>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</si>
  <si>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</si>
  <si>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</si>
  <si>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</si>
  <si>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</si>
  <si>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</si>
  <si>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</si>
  <si>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</si>
  <si>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</si>
  <si>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</si>
  <si>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</si>
  <si>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</si>
  <si>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</si>
  <si>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</si>
  <si>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</si>
  <si>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</si>
  <si>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</si>
  <si>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</si>
  <si>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</si>
  <si>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</si>
  <si>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</si>
  <si>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</si>
  <si>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</si>
  <si>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</si>
  <si>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</si>
  <si>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</si>
  <si>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</si>
  <si>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</si>
  <si>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</si>
  <si>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</si>
  <si>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</si>
  <si>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</si>
  <si>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</si>
  <si>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</si>
  <si>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</si>
  <si>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</si>
  <si>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</si>
  <si>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</si>
  <si>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</si>
  <si>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</si>
  <si>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</si>
  <si>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</si>
  <si>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</si>
  <si>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</si>
  <si>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</si>
  <si>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</si>
  <si>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</si>
  <si>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</si>
  <si>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</si>
  <si>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</si>
  <si>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</si>
  <si>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</si>
  <si>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</si>
  <si>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</si>
  <si>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</si>
  <si>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</si>
  <si>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</si>
  <si>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</si>
  <si>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</si>
  <si>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</si>
  <si>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</si>
  <si>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</si>
  <si>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</si>
  <si>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</si>
  <si>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</si>
  <si>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</si>
  <si>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</si>
  <si>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</si>
  <si>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</si>
  <si>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</si>
  <si>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</si>
  <si>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</si>
  <si>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</si>
  <si>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</si>
  <si>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</si>
  <si>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</si>
  <si>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</si>
  <si>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</si>
  <si>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</si>
  <si>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</si>
  <si>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</si>
  <si>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</si>
  <si>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</si>
  <si>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</si>
  <si>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</si>
  <si>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</si>
  <si>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</si>
  <si>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</si>
  <si>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</si>
  <si>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</si>
  <si>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</si>
  <si>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</si>
  <si>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</si>
  <si>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</si>
  <si>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</si>
  <si>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</si>
  <si>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</si>
  <si>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</si>
  <si>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</si>
  <si>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</si>
  <si>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</si>
  <si>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</si>
  <si>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</si>
  <si>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</si>
  <si>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</si>
  <si>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</si>
  <si>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</si>
  <si>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</si>
  <si>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</si>
  <si>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</si>
  <si>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</si>
  <si>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</si>
  <si>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</si>
  <si>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</si>
  <si>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</si>
  <si>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</si>
  <si>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</si>
  <si>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</si>
  <si>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</si>
  <si>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</si>
  <si>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</si>
  <si>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</si>
  <si>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</si>
  <si>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</si>
  <si>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</si>
  <si>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</si>
  <si>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</si>
  <si>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</si>
  <si>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</si>
  <si>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</si>
  <si>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</si>
  <si>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</si>
  <si>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</si>
  <si>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</si>
  <si>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</si>
  <si>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</si>
  <si>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</si>
  <si>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</si>
  <si>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</si>
  <si>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</si>
  <si>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</si>
  <si>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</si>
  <si>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</si>
  <si>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</si>
  <si>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</si>
  <si>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</si>
  <si>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</si>
  <si>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</si>
  <si>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</si>
  <si>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</si>
  <si>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</si>
  <si>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</si>
  <si>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</si>
  <si>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</si>
  <si>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</si>
  <si>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</si>
  <si>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</si>
  <si>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</si>
  <si>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</si>
  <si>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</si>
  <si>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</si>
  <si>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</si>
  <si>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</si>
  <si>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</si>
  <si>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</si>
  <si>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</si>
  <si>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</si>
  <si>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</si>
  <si>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</si>
  <si>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</si>
  <si>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</si>
  <si>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</si>
  <si>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</si>
  <si>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</si>
  <si>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</si>
  <si>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</si>
  <si>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</si>
  <si>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</si>
  <si>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</si>
  <si>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</si>
  <si>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</si>
  <si>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</si>
  <si>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</si>
  <si>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</si>
  <si>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</si>
  <si>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</si>
  <si>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</si>
  <si>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Hooksett School District</t>
  </si>
  <si>
    <t>05/02</t>
  </si>
  <si>
    <t>07/22</t>
  </si>
  <si>
    <t>Impact Fees per FY2011 - MS-24 - Estimated Revenues</t>
  </si>
  <si>
    <t>Parent Paid - This amount represents the difference that familes pay for sending their students to Pembroke instead of</t>
  </si>
  <si>
    <t xml:space="preserve"> Manchester SD where the district has a contract with Hooksett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</si>
</sst>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261</v>
      </c>
      <c r="C2" s="21">
        <v>261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1150021.01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188099.26</v>
      </c>
      <c r="G12" s="18">
        <v>486.21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7459.84</v>
      </c>
      <c r="G13" s="18">
        <v>9988.0400000000009</v>
      </c>
      <c r="H13" s="18">
        <v>193516.38</v>
      </c>
      <c r="I13" s="18"/>
      <c r="J13" s="67">
        <f>SUM(I441)</f>
        <v>266506.53999999998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1339.95</v>
      </c>
      <c r="G14" s="18"/>
      <c r="H14" s="18">
        <v>4.9800000000000004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1346920.06</v>
      </c>
      <c r="G19" s="41">
        <f>SUM(G9:G18)</f>
        <v>10474.25</v>
      </c>
      <c r="H19" s="41">
        <f>SUM(H9:H18)</f>
        <v>193521.36000000002</v>
      </c>
      <c r="I19" s="41">
        <f>SUM(I9:I18)</f>
        <v>0</v>
      </c>
      <c r="J19" s="41">
        <f>SUM(J9:J18)</f>
        <v>266506.53999999998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188585.47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393640.93</v>
      </c>
      <c r="G24" s="18">
        <v>72.95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23081.64</v>
      </c>
      <c r="G28" s="18">
        <v>332.65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10068.65</v>
      </c>
      <c r="H30" s="18">
        <v>4935.8900000000003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416722.57</v>
      </c>
      <c r="G32" s="41">
        <f>SUM(G22:G31)</f>
        <v>10474.25</v>
      </c>
      <c r="H32" s="41">
        <f>SUM(H22:H31)</f>
        <v>193521.36000000002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122300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4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266506.53999999998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116148.09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691749.4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930197.49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266506.53999999998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1346920.06</v>
      </c>
      <c r="G51" s="41">
        <f>G50+G32</f>
        <v>10474.25</v>
      </c>
      <c r="H51" s="41">
        <f>H50+H32</f>
        <v>193521.36000000002</v>
      </c>
      <c r="I51" s="41">
        <f>I50+I32</f>
        <v>0</v>
      </c>
      <c r="J51" s="41">
        <f>J50+J32</f>
        <v>266506.53999999998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17092348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118107.31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17210455.309999999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17496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3437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20933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21266.5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21266.5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2399.4699999999998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293747.33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460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19359.13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7159.46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7205.31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528.52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27092.960000000003</v>
      </c>
      <c r="G110" s="41">
        <f>SUM(G95:G109)</f>
        <v>293747.33</v>
      </c>
      <c r="H110" s="41">
        <f>SUM(H95:H109)</f>
        <v>7619.46</v>
      </c>
      <c r="I110" s="41">
        <f>SUM(I95:I109)</f>
        <v>0</v>
      </c>
      <c r="J110" s="41">
        <f>SUM(J95:J109)</f>
        <v>2399.4699999999998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17279747.77</v>
      </c>
      <c r="G111" s="41">
        <f>G59+G110</f>
        <v>293747.33</v>
      </c>
      <c r="H111" s="41">
        <f>H59+H78+H93+H110</f>
        <v>7619.46</v>
      </c>
      <c r="I111" s="41">
        <f>I59+I110</f>
        <v>0</v>
      </c>
      <c r="J111" s="41">
        <f>J59+J110</f>
        <v>2399.4699999999998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3071326.9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3714312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2661.1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14209.39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6802509.3899999997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330172.46999999997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308460.75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6593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638633.22</v>
      </c>
      <c r="G135" s="41">
        <f>SUM(G122:G134)</f>
        <v>6593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>
        <v>1540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7441142.6099999994</v>
      </c>
      <c r="G139" s="41">
        <f>G120+SUM(G135:G136)</f>
        <v>6593</v>
      </c>
      <c r="H139" s="41">
        <f>H120+SUM(H135:H138)</f>
        <v>1540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128526.01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43740.62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139954.48+31788.43</f>
        <v>171742.91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367618.09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123666.24000000001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145712.10999999999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123666.24000000001</v>
      </c>
      <c r="G161" s="41">
        <f>SUM(G149:G160)</f>
        <v>171742.91</v>
      </c>
      <c r="H161" s="41">
        <f>SUM(H149:H160)</f>
        <v>685596.83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123666.24000000001</v>
      </c>
      <c r="G168" s="41">
        <f>G146+G161+SUM(G162:G167)</f>
        <v>171742.91</v>
      </c>
      <c r="H168" s="41">
        <f>H146+H161+SUM(H162:H167)</f>
        <v>685596.83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117264.5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117264.5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117264.5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24844556.619999997</v>
      </c>
      <c r="G192" s="47">
        <f>G111+G139+G168+G191</f>
        <v>589347.74</v>
      </c>
      <c r="H192" s="47">
        <f>H111+H139+H168+H191</f>
        <v>694756.28999999992</v>
      </c>
      <c r="I192" s="47">
        <f>I111+I139+I168+I191</f>
        <v>0</v>
      </c>
      <c r="J192" s="47">
        <f>J111+J139+J191</f>
        <v>2399.4699999999998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2956124.18+42281.6</f>
        <v>2998405.7800000003</v>
      </c>
      <c r="G196" s="18">
        <f>1389192.71+45223.97</f>
        <v>1434416.68</v>
      </c>
      <c r="H196" s="18">
        <f>1281.4+31318.53</f>
        <v>32599.93</v>
      </c>
      <c r="I196" s="18">
        <f>90676.24</f>
        <v>90676.24</v>
      </c>
      <c r="J196" s="18">
        <f>7358.98</f>
        <v>7358.98</v>
      </c>
      <c r="K196" s="18">
        <f>169</f>
        <v>169</v>
      </c>
      <c r="L196" s="19">
        <f>SUM(F196:K196)</f>
        <v>4563626.6100000003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537838.41+38046.8+76723+56467+81742.93</f>
        <v>790818.14000000013</v>
      </c>
      <c r="G197" s="18">
        <f>275256.86+5272.9+42490.83+30796.84+43128.73</f>
        <v>396946.16000000003</v>
      </c>
      <c r="H197" s="18">
        <f>93096.42+77026.39+2213.62+2894.63+32496.24</f>
        <v>207727.3</v>
      </c>
      <c r="I197" s="18">
        <f>2650.27+206.11+1682.94+1879.55</f>
        <v>6418.87</v>
      </c>
      <c r="J197" s="18">
        <f>9160.41+247.5</f>
        <v>9407.91</v>
      </c>
      <c r="K197" s="18">
        <f>1399+1105</f>
        <v>2504</v>
      </c>
      <c r="L197" s="19">
        <f>SUM(F197:K197)</f>
        <v>1413822.3800000004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7250+2562.5</f>
        <v>9812.5</v>
      </c>
      <c r="G199" s="18">
        <f>1191.91+511.28</f>
        <v>1703.19</v>
      </c>
      <c r="H199" s="18">
        <f>99+68.47</f>
        <v>167.47</v>
      </c>
      <c r="I199" s="18">
        <f>573.68</f>
        <v>573.67999999999995</v>
      </c>
      <c r="J199" s="18">
        <f>435.96</f>
        <v>435.96</v>
      </c>
      <c r="K199" s="18"/>
      <c r="L199" s="19">
        <f>SUM(F199:K199)</f>
        <v>12692.8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109347.17+81237.24+183527.72+23901.57</f>
        <v>398013.7</v>
      </c>
      <c r="G201" s="18">
        <f>45413.79+34842.08+82024.79+1387.32+1828.47</f>
        <v>165496.44999999998</v>
      </c>
      <c r="H201" s="18">
        <f>12592.06+325+144+5794.9+45856.8+61009.42</f>
        <v>125722.18</v>
      </c>
      <c r="I201" s="18">
        <f>566.15+2488.52+1657.97+3305.85+632.9</f>
        <v>8651.39</v>
      </c>
      <c r="J201" s="18">
        <f>209+45.94</f>
        <v>254.94</v>
      </c>
      <c r="K201" s="18">
        <f>3452.33</f>
        <v>3452.33</v>
      </c>
      <c r="L201" s="19">
        <f t="shared" ref="L201:L207" si="0">SUM(F201:K201)</f>
        <v>701590.99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137624.78+39760.37</f>
        <v>177385.15</v>
      </c>
      <c r="G202" s="18">
        <f>469+76138.48+23944.13</f>
        <v>100551.61</v>
      </c>
      <c r="H202" s="18">
        <f>4035.93</f>
        <v>4035.93</v>
      </c>
      <c r="I202" s="18">
        <f>23750.44</f>
        <v>23750.44</v>
      </c>
      <c r="J202" s="18">
        <f>9289.4</f>
        <v>9289.4</v>
      </c>
      <c r="K202" s="18">
        <f>100</f>
        <v>100</v>
      </c>
      <c r="L202" s="19">
        <f t="shared" si="0"/>
        <v>315112.53000000003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10968.75</f>
        <v>10968.75</v>
      </c>
      <c r="G203" s="18">
        <f>1036.46</f>
        <v>1036.46</v>
      </c>
      <c r="H203" s="18">
        <f>36308.39+363517.05</f>
        <v>399825.44</v>
      </c>
      <c r="I203" s="18">
        <f>2124.65</f>
        <v>2124.65</v>
      </c>
      <c r="J203" s="18">
        <f>3338.4</f>
        <v>3338.4</v>
      </c>
      <c r="K203" s="18">
        <f>8472.23</f>
        <v>8472.23</v>
      </c>
      <c r="L203" s="19">
        <f t="shared" si="0"/>
        <v>425765.93000000005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425739.44</v>
      </c>
      <c r="G204" s="18">
        <f>190875.22</f>
        <v>190875.22</v>
      </c>
      <c r="H204" s="18">
        <f>5909.54+18519.33+2010.53</f>
        <v>26439.4</v>
      </c>
      <c r="I204" s="18">
        <f>6699.79</f>
        <v>6699.79</v>
      </c>
      <c r="J204" s="18">
        <f>5560.18</f>
        <v>5560.18</v>
      </c>
      <c r="K204" s="18">
        <f>2410</f>
        <v>2410</v>
      </c>
      <c r="L204" s="19">
        <f t="shared" si="0"/>
        <v>657724.03000000014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246853.69+40584.22</f>
        <v>287437.91000000003</v>
      </c>
      <c r="G206" s="18">
        <f>96419.84+21502.78</f>
        <v>117922.62</v>
      </c>
      <c r="H206" s="18">
        <f>152856.13+62907.76+33231.25</f>
        <v>248995.14</v>
      </c>
      <c r="I206" s="18">
        <f>256605.99+268.39</f>
        <v>256874.38</v>
      </c>
      <c r="J206" s="18">
        <f>56663.47</f>
        <v>56663.47</v>
      </c>
      <c r="K206" s="18"/>
      <c r="L206" s="19">
        <f t="shared" si="0"/>
        <v>967893.52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6864.58+499045.62</f>
        <v>505910.2</v>
      </c>
      <c r="I207" s="18"/>
      <c r="J207" s="18"/>
      <c r="K207" s="18"/>
      <c r="L207" s="19">
        <f t="shared" si="0"/>
        <v>505910.2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46758.3+46068.56</f>
        <v>92826.86</v>
      </c>
      <c r="G208" s="18">
        <f>7226.79+20117</f>
        <v>27343.79</v>
      </c>
      <c r="H208" s="18">
        <f>1126.45+1882.89+1923.68</f>
        <v>4933.0200000000004</v>
      </c>
      <c r="I208" s="18">
        <f>2840.92+11664.24</f>
        <v>14505.16</v>
      </c>
      <c r="J208" s="18">
        <f>21283.83</f>
        <v>21283.83</v>
      </c>
      <c r="K208" s="18"/>
      <c r="L208" s="19">
        <f>SUM(F208:K208)</f>
        <v>160892.65999999997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5191408.2300000014</v>
      </c>
      <c r="G210" s="41">
        <f t="shared" si="1"/>
        <v>2436292.1800000002</v>
      </c>
      <c r="H210" s="41">
        <f t="shared" si="1"/>
        <v>1556356.01</v>
      </c>
      <c r="I210" s="41">
        <f t="shared" si="1"/>
        <v>410274.6</v>
      </c>
      <c r="J210" s="41">
        <f t="shared" si="1"/>
        <v>113593.06999999999</v>
      </c>
      <c r="K210" s="41">
        <f t="shared" si="1"/>
        <v>17107.559999999998</v>
      </c>
      <c r="L210" s="41">
        <f t="shared" si="1"/>
        <v>9725031.6500000004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1869036.86+22201</f>
        <v>1891237.86</v>
      </c>
      <c r="G214" s="18">
        <f>777558.06+24046.87</f>
        <v>801604.93</v>
      </c>
      <c r="H214" s="18">
        <f>2950+19149.98</f>
        <v>22099.98</v>
      </c>
      <c r="I214" s="18">
        <f>28308.19</f>
        <v>28308.19</v>
      </c>
      <c r="J214" s="18">
        <f>10469.76</f>
        <v>10469.76</v>
      </c>
      <c r="K214" s="18">
        <f>91</f>
        <v>91</v>
      </c>
      <c r="L214" s="19">
        <f>SUM(F214:K214)</f>
        <v>2753811.7199999997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349437.95+13690.07+42419+51470+42506.33</f>
        <v>499523.35000000003</v>
      </c>
      <c r="G215" s="18">
        <f>184361.05+1210.6+8242.02+29836.76+22426.92</f>
        <v>246077.34999999998</v>
      </c>
      <c r="H215" s="18">
        <f>64377.24+2817.47+39680.25+1140.35+1491.18+16740.48</f>
        <v>126246.96999999999</v>
      </c>
      <c r="I215" s="18">
        <f>3235.1+224.83+731.21+968.26</f>
        <v>5159.3999999999996</v>
      </c>
      <c r="J215" s="18">
        <f>1568.98+127.5</f>
        <v>1696.48</v>
      </c>
      <c r="K215" s="18"/>
      <c r="L215" s="19">
        <f>SUM(F215:K215)</f>
        <v>878703.54999999993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24802.74+24673+7030</f>
        <v>56505.740000000005</v>
      </c>
      <c r="G217" s="18">
        <f>4404.61+3544.07+1427.6</f>
        <v>9376.2800000000007</v>
      </c>
      <c r="H217" s="18">
        <f>344.21+5818.31+301.85</f>
        <v>6464.3700000000008</v>
      </c>
      <c r="I217" s="18">
        <f>1254.61+871.64+1548.47</f>
        <v>3674.7200000000003</v>
      </c>
      <c r="J217" s="18">
        <f>7315.01+7900.05</f>
        <v>15215.060000000001</v>
      </c>
      <c r="K217" s="18">
        <f>1182.68+400</f>
        <v>1582.68</v>
      </c>
      <c r="L217" s="19">
        <f>SUM(F217:K217)</f>
        <v>92818.849999999991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99897.41+40612+68822.12+52845.6+12312.93</f>
        <v>274490.06</v>
      </c>
      <c r="G219" s="18">
        <f>27948.4+16303.73+33242.73+13818.49+714.68+941.94</f>
        <v>92969.970000000016</v>
      </c>
      <c r="H219" s="18">
        <f>6375+2400.85+4862.96+662+23623.2+31429.09</f>
        <v>69353.100000000006</v>
      </c>
      <c r="I219" s="18">
        <f>214.85+1431.97+1058.68+598.65+1354.09</f>
        <v>4658.24</v>
      </c>
      <c r="J219" s="18">
        <f>68</f>
        <v>68</v>
      </c>
      <c r="K219" s="18">
        <f>1778.47</f>
        <v>1778.47</v>
      </c>
      <c r="L219" s="19">
        <f t="shared" ref="L219:L225" si="2">SUM(F219:K219)</f>
        <v>443317.83999999997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15193.35+21409.43</f>
        <v>36602.78</v>
      </c>
      <c r="G220" s="18">
        <f>3714.3+9107.58+12892.98</f>
        <v>25714.86</v>
      </c>
      <c r="H220" s="18">
        <f>2047.82</f>
        <v>2047.82</v>
      </c>
      <c r="I220" s="18">
        <f>11695.67</f>
        <v>11695.67</v>
      </c>
      <c r="J220" s="18">
        <f>8193.64</f>
        <v>8193.64</v>
      </c>
      <c r="K220" s="18">
        <f>260</f>
        <v>260</v>
      </c>
      <c r="L220" s="19">
        <f t="shared" si="2"/>
        <v>84514.77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5906.25</f>
        <v>5906.25</v>
      </c>
      <c r="G221" s="18">
        <f>558.09</f>
        <v>558.09</v>
      </c>
      <c r="H221" s="18">
        <f>19550.67+195739.95</f>
        <v>215290.62</v>
      </c>
      <c r="I221" s="18">
        <f>1144.03</f>
        <v>1144.03</v>
      </c>
      <c r="J221" s="18">
        <f>1797.6</f>
        <v>1797.6</v>
      </c>
      <c r="K221" s="18">
        <f>4561.98</f>
        <v>4561.9799999999996</v>
      </c>
      <c r="L221" s="19">
        <f t="shared" si="2"/>
        <v>229258.57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212329.47</f>
        <v>212329.47</v>
      </c>
      <c r="G222" s="18">
        <f>68053.46</f>
        <v>68053.460000000006</v>
      </c>
      <c r="H222" s="18">
        <f>5284.39+15647.44+1082.6</f>
        <v>22014.43</v>
      </c>
      <c r="I222" s="18">
        <f>3063.62</f>
        <v>3063.62</v>
      </c>
      <c r="J222" s="18">
        <f>5103.9</f>
        <v>5103.8999999999996</v>
      </c>
      <c r="K222" s="18">
        <f>1270</f>
        <v>1270</v>
      </c>
      <c r="L222" s="19">
        <f t="shared" si="2"/>
        <v>311834.88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171594+21853.04</f>
        <v>193447.04000000001</v>
      </c>
      <c r="G224" s="18">
        <f>90762.24+11578.4</f>
        <v>102340.64</v>
      </c>
      <c r="H224" s="18">
        <f>78035.97+33873.42+17893.75</f>
        <v>129803.14</v>
      </c>
      <c r="I224" s="18">
        <f>209163.26+144.51</f>
        <v>209307.77000000002</v>
      </c>
      <c r="J224" s="18">
        <f>8737.51</f>
        <v>8737.51</v>
      </c>
      <c r="K224" s="18"/>
      <c r="L224" s="19">
        <f t="shared" si="2"/>
        <v>643636.10000000009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17817.05+260104.07</f>
        <v>277921.12</v>
      </c>
      <c r="I225" s="18"/>
      <c r="J225" s="18"/>
      <c r="K225" s="18"/>
      <c r="L225" s="19">
        <f t="shared" si="2"/>
        <v>277921.12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24806.14</f>
        <v>24806.14</v>
      </c>
      <c r="G226" s="18">
        <f>10832.21</f>
        <v>10832.21</v>
      </c>
      <c r="H226" s="18">
        <f>606.55+1013.86+1035.83</f>
        <v>2656.24</v>
      </c>
      <c r="I226" s="18">
        <f>7699.13+6280.74</f>
        <v>13979.869999999999</v>
      </c>
      <c r="J226" s="18">
        <f>11460.53</f>
        <v>11460.53</v>
      </c>
      <c r="K226" s="18"/>
      <c r="L226" s="19">
        <f>SUM(F226:K226)</f>
        <v>63734.989999999991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3194848.6900000004</v>
      </c>
      <c r="G228" s="41">
        <f>SUM(G214:G227)</f>
        <v>1357527.79</v>
      </c>
      <c r="H228" s="41">
        <f>SUM(H214:H227)</f>
        <v>873897.78999999992</v>
      </c>
      <c r="I228" s="41">
        <f>SUM(I214:I227)</f>
        <v>280991.51</v>
      </c>
      <c r="J228" s="41">
        <f>SUM(J214:J227)</f>
        <v>62742.48</v>
      </c>
      <c r="K228" s="41">
        <f t="shared" si="3"/>
        <v>9544.1299999999992</v>
      </c>
      <c r="L228" s="41">
        <f t="shared" si="3"/>
        <v>5779552.3899999997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22074.69</f>
        <v>22074.69</v>
      </c>
      <c r="G232" s="18">
        <f>11875.52</f>
        <v>11875.52</v>
      </c>
      <c r="H232" s="18">
        <f>4740+5253734.78</f>
        <v>5258474.78</v>
      </c>
      <c r="I232" s="18"/>
      <c r="J232" s="18"/>
      <c r="K232" s="18"/>
      <c r="L232" s="19">
        <f>SUM(F232:K232)</f>
        <v>5292424.99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215784.33+39236.59</f>
        <v>255020.91999999998</v>
      </c>
      <c r="G233" s="18">
        <f>120022.88+20701.77</f>
        <v>140724.65</v>
      </c>
      <c r="H233" s="18">
        <f>1957921.58</f>
        <v>1957921.58</v>
      </c>
      <c r="I233" s="18"/>
      <c r="J233" s="18"/>
      <c r="K233" s="18"/>
      <c r="L233" s="19">
        <f>SUM(F233:K233)</f>
        <v>2353667.15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298977.08</f>
        <v>298977.08</v>
      </c>
      <c r="I243" s="18"/>
      <c r="J243" s="18"/>
      <c r="K243" s="18"/>
      <c r="L243" s="19">
        <f t="shared" si="4"/>
        <v>298977.08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277095.61</v>
      </c>
      <c r="G246" s="41">
        <f t="shared" si="5"/>
        <v>152600.16999999998</v>
      </c>
      <c r="H246" s="41">
        <f t="shared" si="5"/>
        <v>7515373.4400000004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7945069.2200000007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13860</f>
        <v>13860</v>
      </c>
      <c r="I254" s="18"/>
      <c r="J254" s="18"/>
      <c r="K254" s="18"/>
      <c r="L254" s="19">
        <f t="shared" si="6"/>
        <v>13860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13860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13860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8663352.5300000012</v>
      </c>
      <c r="G256" s="41">
        <f t="shared" si="8"/>
        <v>3946420.14</v>
      </c>
      <c r="H256" s="41">
        <f t="shared" si="8"/>
        <v>9959487.2400000002</v>
      </c>
      <c r="I256" s="41">
        <f t="shared" si="8"/>
        <v>691266.11</v>
      </c>
      <c r="J256" s="41">
        <f t="shared" si="8"/>
        <v>176335.55</v>
      </c>
      <c r="K256" s="41">
        <f t="shared" si="8"/>
        <v>26651.689999999995</v>
      </c>
      <c r="L256" s="41">
        <f t="shared" si="8"/>
        <v>23463513.259999998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1035000</v>
      </c>
      <c r="L259" s="19">
        <f>SUM(F259:K259)</f>
        <v>1035000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562040</v>
      </c>
      <c r="L260" s="19">
        <f>SUM(F260:K260)</f>
        <v>562040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117264.5</v>
      </c>
      <c r="L262" s="19">
        <f>SUM(F262:K262)</f>
        <v>117264.5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1714304.5</v>
      </c>
      <c r="L269" s="41">
        <f t="shared" si="9"/>
        <v>1714304.5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8663352.5300000012</v>
      </c>
      <c r="G270" s="42">
        <f t="shared" si="11"/>
        <v>3946420.14</v>
      </c>
      <c r="H270" s="42">
        <f t="shared" si="11"/>
        <v>9959487.2400000002</v>
      </c>
      <c r="I270" s="42">
        <f t="shared" si="11"/>
        <v>691266.11</v>
      </c>
      <c r="J270" s="42">
        <f t="shared" si="11"/>
        <v>176335.55</v>
      </c>
      <c r="K270" s="42">
        <f t="shared" si="11"/>
        <v>1740956.19</v>
      </c>
      <c r="L270" s="42">
        <f t="shared" si="11"/>
        <v>25177817.759999998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47934.31+106973.52</f>
        <v>154907.83000000002</v>
      </c>
      <c r="G275" s="18">
        <f>24354.56+14826.98</f>
        <v>39181.54</v>
      </c>
      <c r="H275" s="18">
        <f>15512.74</f>
        <v>15512.74</v>
      </c>
      <c r="I275" s="18">
        <f>1504.74+600.25</f>
        <v>2104.9899999999998</v>
      </c>
      <c r="J275" s="18">
        <f>3113.5</f>
        <v>3113.5</v>
      </c>
      <c r="K275" s="18"/>
      <c r="L275" s="19">
        <f>SUM(F275:K275)</f>
        <v>214820.6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79228.08+3676.2</f>
        <v>82904.28</v>
      </c>
      <c r="G276" s="18">
        <f>10742.48+573.8</f>
        <v>11316.279999999999</v>
      </c>
      <c r="H276" s="18">
        <f>7283.25+5663.78+52</f>
        <v>12999.029999999999</v>
      </c>
      <c r="I276" s="18">
        <f>7760.98+3365.55+1116.13</f>
        <v>12242.66</v>
      </c>
      <c r="J276" s="18">
        <f>9852.31+17525.29</f>
        <v>27377.599999999999</v>
      </c>
      <c r="K276" s="18"/>
      <c r="L276" s="19">
        <f>SUM(F276:K276)</f>
        <v>146839.85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f>2000</f>
        <v>2000</v>
      </c>
      <c r="I278" s="18">
        <f>100</f>
        <v>100</v>
      </c>
      <c r="J278" s="18"/>
      <c r="K278" s="18"/>
      <c r="L278" s="19">
        <f>SUM(F278:K278)</f>
        <v>2100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19533.41+607.43+4680</f>
        <v>24820.84</v>
      </c>
      <c r="G280" s="18">
        <f>3656.89+46.46+358.02</f>
        <v>4061.37</v>
      </c>
      <c r="H280" s="18">
        <f>17351.75+15400.32+26570.38</f>
        <v>59322.45</v>
      </c>
      <c r="I280" s="18"/>
      <c r="J280" s="18"/>
      <c r="K280" s="18"/>
      <c r="L280" s="19">
        <f t="shared" ref="L280:L286" si="12">SUM(F280:K280)</f>
        <v>88204.66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2145+21045.65</f>
        <v>23190.65</v>
      </c>
      <c r="G281" s="18">
        <f>427.09+3933.5</f>
        <v>4360.59</v>
      </c>
      <c r="H281" s="18">
        <f>325+10381.56</f>
        <v>10706.56</v>
      </c>
      <c r="I281" s="18">
        <f>79.18+4053.65</f>
        <v>4132.83</v>
      </c>
      <c r="J281" s="18"/>
      <c r="K281" s="18"/>
      <c r="L281" s="19">
        <f t="shared" si="12"/>
        <v>42390.630000000005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6628.06+971.74</f>
        <v>7599.8</v>
      </c>
      <c r="L284" s="19">
        <f t="shared" si="12"/>
        <v>7599.8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f>202.83</f>
        <v>202.83</v>
      </c>
      <c r="J285" s="18"/>
      <c r="K285" s="18"/>
      <c r="L285" s="19">
        <f t="shared" si="12"/>
        <v>202.83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285823.60000000003</v>
      </c>
      <c r="G289" s="42">
        <f t="shared" si="13"/>
        <v>58919.78</v>
      </c>
      <c r="H289" s="42">
        <f t="shared" si="13"/>
        <v>100540.78</v>
      </c>
      <c r="I289" s="42">
        <f t="shared" si="13"/>
        <v>18783.310000000001</v>
      </c>
      <c r="J289" s="42">
        <f t="shared" si="13"/>
        <v>30491.1</v>
      </c>
      <c r="K289" s="42">
        <f t="shared" si="13"/>
        <v>7599.8</v>
      </c>
      <c r="L289" s="41">
        <f t="shared" si="13"/>
        <v>502158.37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25810.78</f>
        <v>25810.78</v>
      </c>
      <c r="G294" s="18">
        <f>13113.97</f>
        <v>13113.97</v>
      </c>
      <c r="H294" s="18">
        <f>8353.01</f>
        <v>8353.01</v>
      </c>
      <c r="I294" s="18">
        <f>810.25</f>
        <v>810.25</v>
      </c>
      <c r="J294" s="18">
        <f>1676.5</f>
        <v>1676.5</v>
      </c>
      <c r="K294" s="18"/>
      <c r="L294" s="19">
        <f>SUM(F294:K294)</f>
        <v>49764.51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42661.27</f>
        <v>42661.27</v>
      </c>
      <c r="G295" s="18">
        <f>5784.41</f>
        <v>5784.41</v>
      </c>
      <c r="H295" s="18">
        <f>3921.75+3049.72+28</f>
        <v>6999.4699999999993</v>
      </c>
      <c r="I295" s="18">
        <f>4179+1812.22</f>
        <v>5991.22</v>
      </c>
      <c r="J295" s="18">
        <f>5305.09+9436.69</f>
        <v>14741.78</v>
      </c>
      <c r="K295" s="18"/>
      <c r="L295" s="19">
        <f>SUM(F295:K295)</f>
        <v>76178.149999999994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1656.88</f>
        <v>1656.88</v>
      </c>
      <c r="G297" s="18">
        <f>269.5</f>
        <v>269.5</v>
      </c>
      <c r="H297" s="18"/>
      <c r="I297" s="18"/>
      <c r="J297" s="18"/>
      <c r="K297" s="18"/>
      <c r="L297" s="19">
        <f>SUM(F297:K297)</f>
        <v>1926.38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3890+10517.99+327.07</f>
        <v>14735.06</v>
      </c>
      <c r="G299" s="18">
        <f>720.93+1969.1+25.02</f>
        <v>2715.0499999999997</v>
      </c>
      <c r="H299" s="18">
        <f>1797.95+9343.25+8292.48+14307.12</f>
        <v>33740.800000000003</v>
      </c>
      <c r="I299" s="18">
        <f>1661.81</f>
        <v>1661.81</v>
      </c>
      <c r="J299" s="18"/>
      <c r="K299" s="18"/>
      <c r="L299" s="19">
        <f t="shared" ref="L299:L305" si="14">SUM(F299:K299)</f>
        <v>52852.72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1155</f>
        <v>1155</v>
      </c>
      <c r="G300" s="18">
        <f>229.97</f>
        <v>229.97</v>
      </c>
      <c r="H300" s="18">
        <f>175+5590.06</f>
        <v>5765.06</v>
      </c>
      <c r="I300" s="18">
        <f>42.64</f>
        <v>42.64</v>
      </c>
      <c r="J300" s="18"/>
      <c r="K300" s="18"/>
      <c r="L300" s="19">
        <f t="shared" si="14"/>
        <v>7192.670000000001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f>1114.54+3568.95</f>
        <v>4683.49</v>
      </c>
      <c r="L303" s="19">
        <f t="shared" si="14"/>
        <v>4683.49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86018.989999999991</v>
      </c>
      <c r="G308" s="42">
        <f t="shared" si="15"/>
        <v>22112.899999999998</v>
      </c>
      <c r="H308" s="42">
        <f t="shared" si="15"/>
        <v>54858.34</v>
      </c>
      <c r="I308" s="42">
        <f t="shared" si="15"/>
        <v>8505.92</v>
      </c>
      <c r="J308" s="42">
        <f t="shared" si="15"/>
        <v>16418.28</v>
      </c>
      <c r="K308" s="42">
        <f t="shared" si="15"/>
        <v>4683.49</v>
      </c>
      <c r="L308" s="41">
        <f t="shared" si="15"/>
        <v>192597.92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371842.59</v>
      </c>
      <c r="G337" s="41">
        <f t="shared" si="20"/>
        <v>81032.679999999993</v>
      </c>
      <c r="H337" s="41">
        <f t="shared" si="20"/>
        <v>155399.12</v>
      </c>
      <c r="I337" s="41">
        <f t="shared" si="20"/>
        <v>27289.230000000003</v>
      </c>
      <c r="J337" s="41">
        <f t="shared" si="20"/>
        <v>46909.38</v>
      </c>
      <c r="K337" s="41">
        <f t="shared" si="20"/>
        <v>12283.29</v>
      </c>
      <c r="L337" s="41">
        <f t="shared" si="20"/>
        <v>694756.29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371842.59</v>
      </c>
      <c r="G351" s="41">
        <f>G337</f>
        <v>81032.679999999993</v>
      </c>
      <c r="H351" s="41">
        <f>H337</f>
        <v>155399.12</v>
      </c>
      <c r="I351" s="41">
        <f>I337</f>
        <v>27289.230000000003</v>
      </c>
      <c r="J351" s="41">
        <f>J337</f>
        <v>46909.38</v>
      </c>
      <c r="K351" s="47">
        <f>K337+K350</f>
        <v>12283.29</v>
      </c>
      <c r="L351" s="41">
        <f>L337+L350</f>
        <v>694756.29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27663.12+121509.16</f>
        <v>149172.28</v>
      </c>
      <c r="G357" s="18">
        <f>12196.61+84182.7</f>
        <v>96379.31</v>
      </c>
      <c r="H357" s="18">
        <v>2549.96</v>
      </c>
      <c r="I357" s="18">
        <v>148163.91</v>
      </c>
      <c r="J357" s="18">
        <f>1749.48</f>
        <v>1749.48</v>
      </c>
      <c r="K357" s="18">
        <v>131.94</v>
      </c>
      <c r="L357" s="13">
        <f>SUM(F357:K357)</f>
        <v>398146.87999999995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14895.52+62149.91</f>
        <v>77045.430000000008</v>
      </c>
      <c r="G358" s="18">
        <f>6567.4+21946.71</f>
        <v>28514.11</v>
      </c>
      <c r="H358" s="18"/>
      <c r="I358" s="18">
        <v>79780.56</v>
      </c>
      <c r="J358" s="18">
        <f>3445.1+2344.62</f>
        <v>5789.7199999999993</v>
      </c>
      <c r="K358" s="18">
        <v>71.040000000000006</v>
      </c>
      <c r="L358" s="19">
        <f>SUM(F358:K358)</f>
        <v>191200.86000000002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226217.71000000002</v>
      </c>
      <c r="G361" s="47">
        <f t="shared" si="22"/>
        <v>124893.42</v>
      </c>
      <c r="H361" s="47">
        <f t="shared" si="22"/>
        <v>2549.96</v>
      </c>
      <c r="I361" s="47">
        <f t="shared" si="22"/>
        <v>227944.47</v>
      </c>
      <c r="J361" s="47">
        <f t="shared" si="22"/>
        <v>7539.1999999999989</v>
      </c>
      <c r="K361" s="47">
        <f t="shared" si="22"/>
        <v>202.98000000000002</v>
      </c>
      <c r="L361" s="47">
        <f t="shared" si="22"/>
        <v>589347.74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137024.89000000001</v>
      </c>
      <c r="G366" s="18">
        <v>73782.63</v>
      </c>
      <c r="H366" s="18"/>
      <c r="I366" s="56">
        <f>SUM(F366:H366)</f>
        <v>210807.52000000002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11139.01</v>
      </c>
      <c r="G367" s="63">
        <v>5997.94</v>
      </c>
      <c r="H367" s="63"/>
      <c r="I367" s="56">
        <f>SUM(F367:H367)</f>
        <v>17136.95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148163.90000000002</v>
      </c>
      <c r="G368" s="47">
        <f>SUM(G366:G367)</f>
        <v>79780.570000000007</v>
      </c>
      <c r="H368" s="47">
        <f>SUM(H366:H367)</f>
        <v>0</v>
      </c>
      <c r="I368" s="47">
        <f>SUM(I366:I367)</f>
        <v>227944.47000000003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475.77</v>
      </c>
      <c r="I387" s="18"/>
      <c r="J387" s="24" t="s">
        <v>289</v>
      </c>
      <c r="K387" s="24" t="s">
        <v>289</v>
      </c>
      <c r="L387" s="56">
        <f t="shared" si="25"/>
        <v>475.77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475.77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475.77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1920.81</v>
      </c>
      <c r="I396" s="18"/>
      <c r="J396" s="24" t="s">
        <v>289</v>
      </c>
      <c r="K396" s="24" t="s">
        <v>289</v>
      </c>
      <c r="L396" s="56">
        <f t="shared" si="26"/>
        <v>1920.81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2.89</v>
      </c>
      <c r="I398" s="18"/>
      <c r="J398" s="24" t="s">
        <v>289</v>
      </c>
      <c r="K398" s="24" t="s">
        <v>289</v>
      </c>
      <c r="L398" s="56">
        <f t="shared" si="26"/>
        <v>2.89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1923.7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1923.7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2399.4700000000003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2399.4700000000003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52842.05</v>
      </c>
      <c r="G441" s="18">
        <v>213664.49</v>
      </c>
      <c r="H441" s="18"/>
      <c r="I441" s="56">
        <f t="shared" si="33"/>
        <v>266506.53999999998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52842.05</v>
      </c>
      <c r="G445" s="13">
        <f>SUM(G438:G444)</f>
        <v>213664.49</v>
      </c>
      <c r="H445" s="13">
        <f>SUM(H438:H444)</f>
        <v>0</v>
      </c>
      <c r="I445" s="13">
        <f>SUM(I438:I444)</f>
        <v>266506.53999999998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52842.05</v>
      </c>
      <c r="G458" s="18">
        <v>213664.49</v>
      </c>
      <c r="H458" s="18"/>
      <c r="I458" s="56">
        <f t="shared" si="34"/>
        <v>266506.53999999998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52842.05</v>
      </c>
      <c r="G459" s="83">
        <f>SUM(G453:G458)</f>
        <v>213664.49</v>
      </c>
      <c r="H459" s="83">
        <f>SUM(H453:H458)</f>
        <v>0</v>
      </c>
      <c r="I459" s="83">
        <f>SUM(I453:I458)</f>
        <v>266506.53999999998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52842.05</v>
      </c>
      <c r="G460" s="42">
        <f>G451+G459</f>
        <v>213664.49</v>
      </c>
      <c r="H460" s="42">
        <f>H451+H459</f>
        <v>0</v>
      </c>
      <c r="I460" s="42">
        <f>I451+I459</f>
        <v>266506.53999999998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1267824.52</v>
      </c>
      <c r="G464" s="18"/>
      <c r="H464" s="18"/>
      <c r="I464" s="18"/>
      <c r="J464" s="18">
        <v>264107.07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24844556.620000001</v>
      </c>
      <c r="G467" s="18">
        <v>589347.74</v>
      </c>
      <c r="H467" s="18">
        <v>694756.29</v>
      </c>
      <c r="I467" s="18"/>
      <c r="J467" s="18">
        <v>2399.4699999999998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24844556.620000001</v>
      </c>
      <c r="G469" s="53">
        <f>SUM(G467:G468)</f>
        <v>589347.74</v>
      </c>
      <c r="H469" s="53">
        <f>SUM(H467:H468)</f>
        <v>694756.29</v>
      </c>
      <c r="I469" s="53">
        <f>SUM(I467:I468)</f>
        <v>0</v>
      </c>
      <c r="J469" s="53">
        <f>SUM(J467:J468)</f>
        <v>2399.4699999999998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25177817.760000002</v>
      </c>
      <c r="G471" s="18">
        <v>589347.74</v>
      </c>
      <c r="H471" s="18">
        <v>694756.29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4365.8900000000003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25182183.650000002</v>
      </c>
      <c r="G473" s="53">
        <f>SUM(G471:G472)</f>
        <v>589347.74</v>
      </c>
      <c r="H473" s="53">
        <f>SUM(H471:H472)</f>
        <v>694756.29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930197.48999999836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266506.53999999998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30732213.059999999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4.51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12400000</v>
      </c>
      <c r="G494" s="18"/>
      <c r="H494" s="18"/>
      <c r="I494" s="18"/>
      <c r="J494" s="18"/>
      <c r="K494" s="53">
        <f>SUM(F494:J494)</f>
        <v>12400000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1597040</v>
      </c>
      <c r="G496" s="18"/>
      <c r="H496" s="18"/>
      <c r="I496" s="18"/>
      <c r="J496" s="18"/>
      <c r="K496" s="53">
        <f t="shared" si="35"/>
        <v>1597040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11365000</v>
      </c>
      <c r="G497" s="205"/>
      <c r="H497" s="205"/>
      <c r="I497" s="205"/>
      <c r="J497" s="205"/>
      <c r="K497" s="206">
        <f t="shared" si="35"/>
        <v>11365000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3076335</v>
      </c>
      <c r="G498" s="18"/>
      <c r="H498" s="18"/>
      <c r="I498" s="18"/>
      <c r="J498" s="18"/>
      <c r="K498" s="53">
        <f t="shared" si="35"/>
        <v>3076335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14441335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14441335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1035000</v>
      </c>
      <c r="G500" s="205"/>
      <c r="H500" s="205"/>
      <c r="I500" s="205"/>
      <c r="J500" s="205"/>
      <c r="K500" s="206">
        <f t="shared" si="35"/>
        <v>1035000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520122.5</v>
      </c>
      <c r="G501" s="18"/>
      <c r="H501" s="18"/>
      <c r="I501" s="18"/>
      <c r="J501" s="18"/>
      <c r="K501" s="53">
        <f t="shared" si="35"/>
        <v>520122.5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1555122.5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1555122.5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537838.41+38046.8+76723+79228.08+3676.2</f>
        <v>735512.49</v>
      </c>
      <c r="G520" s="18">
        <f>275256.86+5272.9+42490.83+10742.48+573.8</f>
        <v>334336.87</v>
      </c>
      <c r="H520" s="18">
        <f>24618.36+91957.72+7283.25+5663.78</f>
        <v>129523.11</v>
      </c>
      <c r="I520" s="18">
        <f>2650.27+206.11+7760.99+3365.55</f>
        <v>13982.919999999998</v>
      </c>
      <c r="J520" s="18">
        <f>9160.41+9852.31+17525.29</f>
        <v>36538.01</v>
      </c>
      <c r="K520" s="18">
        <f>1399</f>
        <v>1399</v>
      </c>
      <c r="L520" s="88">
        <f>SUM(F520:K520)</f>
        <v>1251292.3999999999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349437.95+13690.07+42419+42661.27</f>
        <v>448208.29000000004</v>
      </c>
      <c r="G521" s="18">
        <f>184361.05+1210.6+8242.02+5784.41</f>
        <v>199598.07999999999</v>
      </c>
      <c r="H521" s="18">
        <f>12801.55+63960+3921.75+3049.73</f>
        <v>83733.03</v>
      </c>
      <c r="I521" s="18">
        <f>3235.1+224.83+4178.99+1812.22</f>
        <v>9451.14</v>
      </c>
      <c r="J521" s="18">
        <f>1568.98+5305.09+9436.69</f>
        <v>16310.76</v>
      </c>
      <c r="K521" s="18"/>
      <c r="L521" s="88">
        <f>SUM(F521:K521)</f>
        <v>757301.3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215784.33</f>
        <v>215784.33</v>
      </c>
      <c r="G522" s="18">
        <f>120022.88</f>
        <v>120022.88</v>
      </c>
      <c r="H522" s="18">
        <f>11816.81+1957921.58</f>
        <v>1969738.3900000001</v>
      </c>
      <c r="I522" s="18"/>
      <c r="J522" s="18"/>
      <c r="K522" s="18"/>
      <c r="L522" s="88">
        <f>SUM(F522:K522)</f>
        <v>2305545.6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1399505.11</v>
      </c>
      <c r="G523" s="108">
        <f t="shared" ref="G523:L523" si="36">SUM(G520:G522)</f>
        <v>653957.82999999996</v>
      </c>
      <c r="H523" s="108">
        <f t="shared" si="36"/>
        <v>2182994.5300000003</v>
      </c>
      <c r="I523" s="108">
        <f t="shared" si="36"/>
        <v>23434.059999999998</v>
      </c>
      <c r="J523" s="108">
        <f t="shared" si="36"/>
        <v>52848.770000000004</v>
      </c>
      <c r="K523" s="108">
        <f t="shared" si="36"/>
        <v>1399</v>
      </c>
      <c r="L523" s="89">
        <f t="shared" si="36"/>
        <v>4314139.3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18107.25+183527.72+19533.41+607.43+4680</f>
        <v>226455.81</v>
      </c>
      <c r="G525" s="18">
        <f>1051+1385.21+82024.79+3656.89+46.46+358.02</f>
        <v>88522.37000000001</v>
      </c>
      <c r="H525" s="18">
        <f>58353.32+34740+46219.26+5794.9+17351.75+15400.32+26570.38</f>
        <v>204429.93000000002</v>
      </c>
      <c r="I525" s="18">
        <f>1657.97+3305.85+1116.13</f>
        <v>6079.95</v>
      </c>
      <c r="J525" s="18">
        <f>45.94</f>
        <v>45.94</v>
      </c>
      <c r="K525" s="18"/>
      <c r="L525" s="88">
        <f>SUM(F525:K525)</f>
        <v>525533.99999999988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9415.77+68822.12+52845.6+10517.99+327.08</f>
        <v>141928.55999999997</v>
      </c>
      <c r="G526" s="18">
        <f>546.52+720.31+33242.73+13818.49+1969.1+25.02</f>
        <v>50322.17</v>
      </c>
      <c r="H526" s="18">
        <f>30343.73+18064.8+24034.01+2400.85+9343.25+8292.48+14307.13</f>
        <v>106786.25</v>
      </c>
      <c r="I526" s="18">
        <f>1058.68+598.65</f>
        <v>1657.33</v>
      </c>
      <c r="J526" s="18"/>
      <c r="K526" s="18"/>
      <c r="L526" s="88">
        <f>SUM(F526:K526)</f>
        <v>300694.31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8691.48</f>
        <v>8691.48</v>
      </c>
      <c r="G527" s="18">
        <f>504.48+664.9</f>
        <v>1169.3800000000001</v>
      </c>
      <c r="H527" s="18">
        <f>28009.59+16675.2+22185.24</f>
        <v>66870.03</v>
      </c>
      <c r="I527" s="18"/>
      <c r="J527" s="18"/>
      <c r="K527" s="18"/>
      <c r="L527" s="88">
        <f>SUM(F527:K527)</f>
        <v>76730.89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377075.85</v>
      </c>
      <c r="G528" s="89">
        <f t="shared" ref="G528:L528" si="37">SUM(G525:G527)</f>
        <v>140013.92000000001</v>
      </c>
      <c r="H528" s="89">
        <f t="shared" si="37"/>
        <v>378086.21000000008</v>
      </c>
      <c r="I528" s="89">
        <f t="shared" si="37"/>
        <v>7737.28</v>
      </c>
      <c r="J528" s="89">
        <f t="shared" si="37"/>
        <v>45.94</v>
      </c>
      <c r="K528" s="89">
        <f t="shared" si="37"/>
        <v>0</v>
      </c>
      <c r="L528" s="89">
        <f t="shared" si="37"/>
        <v>902959.19999999984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81742.93</f>
        <v>81742.929999999993</v>
      </c>
      <c r="G530" s="18">
        <f>43128.71</f>
        <v>43128.71</v>
      </c>
      <c r="H530" s="18">
        <f>1676.99+3331.61</f>
        <v>5008.6000000000004</v>
      </c>
      <c r="I530" s="18">
        <f>1423.91</f>
        <v>1423.91</v>
      </c>
      <c r="J530" s="18">
        <v>187.5</v>
      </c>
      <c r="K530" s="18"/>
      <c r="L530" s="88">
        <f>SUM(F530:K530)</f>
        <v>131491.65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42506.32</f>
        <v>42506.32</v>
      </c>
      <c r="G531" s="18">
        <f>22426.93</f>
        <v>22426.93</v>
      </c>
      <c r="H531" s="18">
        <f>872.03+1557.55</f>
        <v>2429.58</v>
      </c>
      <c r="I531" s="18">
        <f>740.43</f>
        <v>740.43</v>
      </c>
      <c r="J531" s="18">
        <v>97.5</v>
      </c>
      <c r="K531" s="18"/>
      <c r="L531" s="88">
        <f>SUM(F531:K531)</f>
        <v>68200.759999999995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39236.6</f>
        <v>39236.6</v>
      </c>
      <c r="G532" s="18">
        <f>20701.78</f>
        <v>20701.78</v>
      </c>
      <c r="H532" s="18">
        <f>804.95+1052.59</f>
        <v>1857.54</v>
      </c>
      <c r="I532" s="18">
        <f>683.47</f>
        <v>683.47</v>
      </c>
      <c r="J532" s="18">
        <v>90</v>
      </c>
      <c r="K532" s="18"/>
      <c r="L532" s="88">
        <f>SUM(F532:K532)</f>
        <v>62569.39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163485.85</v>
      </c>
      <c r="G533" s="89">
        <f t="shared" ref="G533:L533" si="38">SUM(G530:G532)</f>
        <v>86257.42</v>
      </c>
      <c r="H533" s="89">
        <f t="shared" si="38"/>
        <v>9295.7200000000012</v>
      </c>
      <c r="I533" s="89">
        <f t="shared" si="38"/>
        <v>2847.8100000000004</v>
      </c>
      <c r="J533" s="89">
        <f t="shared" si="38"/>
        <v>375</v>
      </c>
      <c r="K533" s="89">
        <f t="shared" si="38"/>
        <v>0</v>
      </c>
      <c r="L533" s="89">
        <f t="shared" si="38"/>
        <v>262261.8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26720.240000000002</v>
      </c>
      <c r="I535" s="18"/>
      <c r="J535" s="18"/>
      <c r="K535" s="18"/>
      <c r="L535" s="88">
        <f>SUM(F535:K535)</f>
        <v>26720.240000000002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14387.82</v>
      </c>
      <c r="I536" s="18"/>
      <c r="J536" s="18"/>
      <c r="K536" s="18"/>
      <c r="L536" s="88">
        <f>SUM(F536:K536)</f>
        <v>14387.82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41108.06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41108.06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153841.26</v>
      </c>
      <c r="I540" s="18"/>
      <c r="J540" s="18"/>
      <c r="K540" s="18"/>
      <c r="L540" s="88">
        <f>SUM(F540:K540)</f>
        <v>153841.26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79997.45</v>
      </c>
      <c r="I541" s="18"/>
      <c r="J541" s="18"/>
      <c r="K541" s="18"/>
      <c r="L541" s="88">
        <f>SUM(F541:K541)</f>
        <v>79997.45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73843.8</v>
      </c>
      <c r="I542" s="18"/>
      <c r="J542" s="18"/>
      <c r="K542" s="18"/>
      <c r="L542" s="88">
        <f>SUM(F542:K542)</f>
        <v>73843.8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307682.51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307682.51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1940066.81</v>
      </c>
      <c r="G544" s="89">
        <f t="shared" ref="G544:L544" si="41">G523+G528+G533+G538+G543</f>
        <v>880229.17</v>
      </c>
      <c r="H544" s="89">
        <f t="shared" si="41"/>
        <v>2919167.0300000003</v>
      </c>
      <c r="I544" s="89">
        <f t="shared" si="41"/>
        <v>34019.149999999994</v>
      </c>
      <c r="J544" s="89">
        <f t="shared" si="41"/>
        <v>53269.710000000006</v>
      </c>
      <c r="K544" s="89">
        <f t="shared" si="41"/>
        <v>1399</v>
      </c>
      <c r="L544" s="89">
        <f t="shared" si="41"/>
        <v>5828150.8699999992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1251292.3999999999</v>
      </c>
      <c r="G548" s="87">
        <f>L525</f>
        <v>525533.99999999988</v>
      </c>
      <c r="H548" s="87">
        <f>L530</f>
        <v>131491.65</v>
      </c>
      <c r="I548" s="87">
        <f>L535</f>
        <v>26720.240000000002</v>
      </c>
      <c r="J548" s="87">
        <f>L540</f>
        <v>153841.26</v>
      </c>
      <c r="K548" s="87">
        <f>SUM(F548:J548)</f>
        <v>2088879.5499999998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757301.3</v>
      </c>
      <c r="G549" s="87">
        <f>L526</f>
        <v>300694.31</v>
      </c>
      <c r="H549" s="87">
        <f>L531</f>
        <v>68200.759999999995</v>
      </c>
      <c r="I549" s="87">
        <f>L536</f>
        <v>14387.82</v>
      </c>
      <c r="J549" s="87">
        <f>L541</f>
        <v>79997.45</v>
      </c>
      <c r="K549" s="87">
        <f>SUM(F549:J549)</f>
        <v>1220581.6400000001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2305545.6</v>
      </c>
      <c r="G550" s="87">
        <f>L527</f>
        <v>76730.89</v>
      </c>
      <c r="H550" s="87">
        <f>L532</f>
        <v>62569.39</v>
      </c>
      <c r="I550" s="87">
        <f>L537</f>
        <v>0</v>
      </c>
      <c r="J550" s="87">
        <f>L542</f>
        <v>73843.8</v>
      </c>
      <c r="K550" s="87">
        <f>SUM(F550:J550)</f>
        <v>2518689.6800000002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4314139.3</v>
      </c>
      <c r="G551" s="89">
        <f t="shared" si="42"/>
        <v>902959.19999999984</v>
      </c>
      <c r="H551" s="89">
        <f t="shared" si="42"/>
        <v>262261.8</v>
      </c>
      <c r="I551" s="89">
        <f t="shared" si="42"/>
        <v>41108.06</v>
      </c>
      <c r="J551" s="89">
        <f t="shared" si="42"/>
        <v>307682.51</v>
      </c>
      <c r="K551" s="89">
        <f t="shared" si="42"/>
        <v>5828150.8700000001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76723</v>
      </c>
      <c r="G561" s="18">
        <v>42490.83</v>
      </c>
      <c r="H561" s="18"/>
      <c r="I561" s="18">
        <v>206.11</v>
      </c>
      <c r="J561" s="18"/>
      <c r="K561" s="18"/>
      <c r="L561" s="88">
        <f>SUM(F561:K561)</f>
        <v>119419.94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42419</v>
      </c>
      <c r="G562" s="18">
        <v>8242.02</v>
      </c>
      <c r="H562" s="18"/>
      <c r="I562" s="18">
        <v>224.83</v>
      </c>
      <c r="J562" s="18"/>
      <c r="K562" s="18"/>
      <c r="L562" s="88">
        <f>SUM(F562:K562)</f>
        <v>50885.850000000006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119142</v>
      </c>
      <c r="G564" s="89">
        <f t="shared" si="44"/>
        <v>50732.850000000006</v>
      </c>
      <c r="H564" s="89">
        <f t="shared" si="44"/>
        <v>0</v>
      </c>
      <c r="I564" s="89">
        <f t="shared" si="44"/>
        <v>430.94000000000005</v>
      </c>
      <c r="J564" s="89">
        <f t="shared" si="44"/>
        <v>0</v>
      </c>
      <c r="K564" s="89">
        <f t="shared" si="44"/>
        <v>0</v>
      </c>
      <c r="L564" s="89">
        <f t="shared" si="44"/>
        <v>170305.79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56467</v>
      </c>
      <c r="G566" s="18">
        <v>30796.84</v>
      </c>
      <c r="H566" s="18"/>
      <c r="I566" s="18">
        <v>1682.94</v>
      </c>
      <c r="J566" s="18"/>
      <c r="K566" s="18"/>
      <c r="L566" s="88">
        <f>SUM(F566:K566)</f>
        <v>88946.78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51470</v>
      </c>
      <c r="G567" s="18">
        <v>29836.76</v>
      </c>
      <c r="H567" s="18">
        <v>2817.47</v>
      </c>
      <c r="I567" s="18">
        <v>731.21</v>
      </c>
      <c r="J567" s="18"/>
      <c r="K567" s="18"/>
      <c r="L567" s="88">
        <f>SUM(F567:K567)</f>
        <v>84855.44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107937</v>
      </c>
      <c r="G569" s="194">
        <f t="shared" ref="G569:L569" si="45">SUM(G566:G568)</f>
        <v>60633.599999999999</v>
      </c>
      <c r="H569" s="194">
        <f t="shared" si="45"/>
        <v>2817.47</v>
      </c>
      <c r="I569" s="194">
        <f t="shared" si="45"/>
        <v>2414.15</v>
      </c>
      <c r="J569" s="194">
        <f t="shared" si="45"/>
        <v>0</v>
      </c>
      <c r="K569" s="194">
        <f t="shared" si="45"/>
        <v>0</v>
      </c>
      <c r="L569" s="194">
        <f t="shared" si="45"/>
        <v>173802.22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227079</v>
      </c>
      <c r="G570" s="89">
        <f t="shared" ref="G570:L570" si="46">G559+G564+G569</f>
        <v>111366.45000000001</v>
      </c>
      <c r="H570" s="89">
        <f t="shared" si="46"/>
        <v>2817.47</v>
      </c>
      <c r="I570" s="89">
        <f t="shared" si="46"/>
        <v>2845.09</v>
      </c>
      <c r="J570" s="89">
        <f t="shared" si="46"/>
        <v>0</v>
      </c>
      <c r="K570" s="89">
        <f t="shared" si="46"/>
        <v>0</v>
      </c>
      <c r="L570" s="89">
        <f t="shared" si="46"/>
        <v>344108.01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5204111.63</v>
      </c>
      <c r="I574" s="87">
        <f>SUM(F574:H574)</f>
        <v>5204111.63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49623.15</v>
      </c>
      <c r="I576" s="87">
        <f t="shared" si="47"/>
        <v>49623.15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1371852.49</v>
      </c>
      <c r="I578" s="87">
        <f t="shared" si="47"/>
        <v>1371852.49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17247.45</v>
      </c>
      <c r="I579" s="87">
        <f t="shared" si="47"/>
        <v>17247.45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91957.72</v>
      </c>
      <c r="G581" s="18">
        <v>63960</v>
      </c>
      <c r="H581" s="18">
        <v>568821.64</v>
      </c>
      <c r="I581" s="87">
        <f t="shared" si="47"/>
        <v>724739.36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345204.36</v>
      </c>
      <c r="I590" s="18">
        <v>180106.62</v>
      </c>
      <c r="J590" s="18">
        <v>225133.28</v>
      </c>
      <c r="K590" s="104">
        <f t="shared" ref="K590:K596" si="48">SUM(H590:J590)</f>
        <v>750444.26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153841.26</v>
      </c>
      <c r="I591" s="18">
        <v>79997.45</v>
      </c>
      <c r="J591" s="18">
        <v>73843.8</v>
      </c>
      <c r="K591" s="104">
        <f t="shared" si="48"/>
        <v>307682.51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12164.46</v>
      </c>
      <c r="J593" s="18"/>
      <c r="K593" s="104">
        <f t="shared" si="48"/>
        <v>12164.46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4098+2766.58</f>
        <v>6864.58</v>
      </c>
      <c r="I594" s="18">
        <v>5652.59</v>
      </c>
      <c r="J594" s="18"/>
      <c r="K594" s="104">
        <f t="shared" si="48"/>
        <v>12517.17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505910.2</v>
      </c>
      <c r="I597" s="108">
        <f>SUM(I590:I596)</f>
        <v>277921.12000000005</v>
      </c>
      <c r="J597" s="108">
        <f>SUM(J590:J596)</f>
        <v>298977.08</v>
      </c>
      <c r="K597" s="108">
        <f>SUM(K590:K596)</f>
        <v>1082808.3999999999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3113.5+9852.31+17525.29+247.5+3338.4+21283.83+88723.34</f>
        <v>144084.16999999998</v>
      </c>
      <c r="I603" s="18">
        <f>1676.5+5305.09+9436.69+127.5+1797.6+11460.53+49356.85</f>
        <v>79160.759999999995</v>
      </c>
      <c r="J603" s="18"/>
      <c r="K603" s="104">
        <f>SUM(H603:J603)</f>
        <v>223244.93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144084.16999999998</v>
      </c>
      <c r="I604" s="108">
        <f>SUM(I601:I603)</f>
        <v>79160.759999999995</v>
      </c>
      <c r="J604" s="108">
        <f>SUM(J601:J603)</f>
        <v>0</v>
      </c>
      <c r="K604" s="108">
        <f>SUM(K601:K603)</f>
        <v>223244.93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38046.8+2562.5</f>
        <v>40609.300000000003</v>
      </c>
      <c r="G610" s="18">
        <f>5272.9+511.28</f>
        <v>5784.1799999999994</v>
      </c>
      <c r="H610" s="18"/>
      <c r="I610" s="18"/>
      <c r="J610" s="18"/>
      <c r="K610" s="18"/>
      <c r="L610" s="88">
        <f>SUM(F610:K610)</f>
        <v>46393.48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13690.07+7030</f>
        <v>20720.07</v>
      </c>
      <c r="G611" s="18">
        <f>1210.6+1427.6</f>
        <v>2638.2</v>
      </c>
      <c r="H611" s="18"/>
      <c r="I611" s="18">
        <v>1548.47</v>
      </c>
      <c r="J611" s="18"/>
      <c r="K611" s="18"/>
      <c r="L611" s="88">
        <f>SUM(F611:K611)</f>
        <v>24906.74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61329.37</v>
      </c>
      <c r="G613" s="108">
        <f t="shared" si="49"/>
        <v>8422.3799999999992</v>
      </c>
      <c r="H613" s="108">
        <f t="shared" si="49"/>
        <v>0</v>
      </c>
      <c r="I613" s="108">
        <f t="shared" si="49"/>
        <v>1548.47</v>
      </c>
      <c r="J613" s="108">
        <f t="shared" si="49"/>
        <v>0</v>
      </c>
      <c r="K613" s="108">
        <f t="shared" si="49"/>
        <v>0</v>
      </c>
      <c r="L613" s="89">
        <f t="shared" si="49"/>
        <v>71300.22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1346920.06</v>
      </c>
      <c r="H616" s="109">
        <f>SUM(F51)</f>
        <v>1346920.06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10474.25</v>
      </c>
      <c r="H617" s="109">
        <f>SUM(G51)</f>
        <v>10474.25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193521.36000000002</v>
      </c>
      <c r="H618" s="109">
        <f>SUM(H51)</f>
        <v>193521.36000000002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266506.53999999998</v>
      </c>
      <c r="H620" s="109">
        <f>SUM(J51)</f>
        <v>266506.53999999998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930197.49</v>
      </c>
      <c r="H621" s="109">
        <f>F475</f>
        <v>930197.48999999836</v>
      </c>
      <c r="I621" s="121" t="s">
        <v>101</v>
      </c>
      <c r="J621" s="109">
        <f t="shared" ref="J621:J654" si="50">G621-H621</f>
        <v>1.6298145055770874E-9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266506.53999999998</v>
      </c>
      <c r="H625" s="109">
        <f>J475</f>
        <v>266506.53999999998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24844556.619999997</v>
      </c>
      <c r="H626" s="104">
        <f>SUM(F467)</f>
        <v>24844556.620000001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589347.74</v>
      </c>
      <c r="H627" s="104">
        <f>SUM(G467)</f>
        <v>589347.74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694756.28999999992</v>
      </c>
      <c r="H628" s="104">
        <f>SUM(H467)</f>
        <v>694756.29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2399.4699999999998</v>
      </c>
      <c r="H630" s="104">
        <f>SUM(J467)</f>
        <v>2399.4699999999998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25177817.759999998</v>
      </c>
      <c r="H631" s="104">
        <f>SUM(F471)</f>
        <v>25177817.760000002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694756.29</v>
      </c>
      <c r="H632" s="104">
        <f>SUM(H471)</f>
        <v>694756.29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227944.47</v>
      </c>
      <c r="H633" s="104">
        <f>I368</f>
        <v>227944.47000000003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589347.74</v>
      </c>
      <c r="H634" s="104">
        <f>SUM(G471)</f>
        <v>589347.74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2399.4700000000003</v>
      </c>
      <c r="H636" s="164">
        <f>SUM(J467)</f>
        <v>2399.4699999999998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52842.05</v>
      </c>
      <c r="H638" s="104">
        <f>SUM(F460)</f>
        <v>52842.05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213664.49</v>
      </c>
      <c r="H639" s="104">
        <f>SUM(G460)</f>
        <v>213664.49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266506.53999999998</v>
      </c>
      <c r="H641" s="104">
        <f>SUM(I460)</f>
        <v>266506.53999999998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2399.4699999999998</v>
      </c>
      <c r="H643" s="104">
        <f>H407</f>
        <v>2399.4700000000003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2399.4699999999998</v>
      </c>
      <c r="H645" s="104">
        <f>L407</f>
        <v>2399.4700000000003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1082808.3999999999</v>
      </c>
      <c r="H646" s="104">
        <f>L207+L225+L243</f>
        <v>1082808.4000000001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223244.93</v>
      </c>
      <c r="H647" s="104">
        <f>(J256+J337)-(J254+J335)</f>
        <v>223244.93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505910.2</v>
      </c>
      <c r="H648" s="104">
        <f>H597</f>
        <v>505910.2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277921.12</v>
      </c>
      <c r="H649" s="104">
        <f>I597</f>
        <v>277921.12000000005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298977.08</v>
      </c>
      <c r="H650" s="104">
        <f>J597</f>
        <v>298977.08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117264.5</v>
      </c>
      <c r="H651" s="104">
        <f>K262+K344</f>
        <v>117264.5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10625336.9</v>
      </c>
      <c r="G659" s="19">
        <f>(L228+L308+L358)</f>
        <v>6163351.1699999999</v>
      </c>
      <c r="H659" s="19">
        <f>(L246+L327+L359)</f>
        <v>7945069.2200000007</v>
      </c>
      <c r="I659" s="19">
        <f>SUM(F659:H659)</f>
        <v>24733757.289999999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198447.49544272519</v>
      </c>
      <c r="G660" s="19">
        <f>(L358/IF(SUM(L357:L359)=0,1,SUM(L357:L359))*(SUM(G96:G109)))</f>
        <v>95299.834557274808</v>
      </c>
      <c r="H660" s="19">
        <f>(L359/IF(SUM(L357:L359)=0,1,SUM(L357:L359))*(SUM(G96:G109)))</f>
        <v>0</v>
      </c>
      <c r="I660" s="19">
        <f>SUM(F660:H660)</f>
        <v>293747.33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505910.2</v>
      </c>
      <c r="G661" s="19">
        <f>(L225+L305)-(J225+J305)</f>
        <v>277921.12</v>
      </c>
      <c r="H661" s="19">
        <f>(L243+L324)-(J243+J324)</f>
        <v>298977.08</v>
      </c>
      <c r="I661" s="19">
        <f>SUM(F661:H661)</f>
        <v>1082808.4000000001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282435.37</v>
      </c>
      <c r="G662" s="200">
        <f>SUM(G574:G586)+SUM(I601:I603)+L611</f>
        <v>168027.5</v>
      </c>
      <c r="H662" s="200">
        <f>SUM(H574:H586)+SUM(J601:J603)+L612</f>
        <v>7211656.3600000003</v>
      </c>
      <c r="I662" s="19">
        <f>SUM(F662:H662)</f>
        <v>7662119.2300000004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9638543.8345572744</v>
      </c>
      <c r="G663" s="19">
        <f>G659-SUM(G660:G662)</f>
        <v>5622102.7154427255</v>
      </c>
      <c r="H663" s="19">
        <f>H659-SUM(H660:H662)</f>
        <v>434435.78000000026</v>
      </c>
      <c r="I663" s="19">
        <f>I659-SUM(I660:I662)</f>
        <v>15695082.329999998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887.97</v>
      </c>
      <c r="G664" s="249">
        <v>514.29</v>
      </c>
      <c r="H664" s="249"/>
      <c r="I664" s="19">
        <f>SUM(F664:H664)</f>
        <v>1402.26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10854.58</v>
      </c>
      <c r="G666" s="19">
        <f>ROUND(G663/G664,2)</f>
        <v>10931.78</v>
      </c>
      <c r="H666" s="19" t="e">
        <f>ROUND(H663/H664,2)</f>
        <v>#DIV/0!</v>
      </c>
      <c r="I666" s="19">
        <f>ROUND(I663/I664,2)</f>
        <v>11192.7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-434435.78</v>
      </c>
      <c r="I668" s="19">
        <f>SUM(F668:H668)</f>
        <v>-434435.78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10854.58</v>
      </c>
      <c r="G671" s="19">
        <f>ROUND((G663+G668)/(G664+G669),2)</f>
        <v>10931.78</v>
      </c>
      <c r="H671" s="19" t="e">
        <f>ROUND((H663+H668)/(H664+H669),2)</f>
        <v>#DIV/0!</v>
      </c>
      <c r="I671" s="19">
        <f>ROUND((I663+I668)/(I664+I669),2)</f>
        <v>10882.89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Hooksett School District</v>
      </c>
      <c r="C1" s="239" t="s">
        <v>839</v>
      </c>
    </row>
    <row r="2" spans="1:3">
      <c r="A2" s="234"/>
      <c r="B2" s="233"/>
    </row>
    <row r="3" spans="1:3">
      <c r="A3" s="276" t="s">
        <v>784</v>
      </c>
      <c r="B3" s="276"/>
      <c r="C3" s="276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5" t="s">
        <v>783</v>
      </c>
      <c r="C6" s="275"/>
    </row>
    <row r="7" spans="1:3">
      <c r="A7" s="240" t="s">
        <v>786</v>
      </c>
      <c r="B7" s="273" t="s">
        <v>782</v>
      </c>
      <c r="C7" s="274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5092436.9400000013</v>
      </c>
      <c r="C9" s="230">
        <f>'DOE25'!G196+'DOE25'!G214+'DOE25'!G232+'DOE25'!G275+'DOE25'!G294+'DOE25'!G313</f>
        <v>2300192.64</v>
      </c>
    </row>
    <row r="10" spans="1:3">
      <c r="A10" t="s">
        <v>779</v>
      </c>
      <c r="B10" s="241">
        <v>4563958.42</v>
      </c>
      <c r="C10" s="241">
        <v>2051926.07</v>
      </c>
    </row>
    <row r="11" spans="1:3">
      <c r="A11" t="s">
        <v>780</v>
      </c>
      <c r="B11" s="241">
        <v>192430.7</v>
      </c>
      <c r="C11" s="241">
        <v>151690.20000000001</v>
      </c>
    </row>
    <row r="12" spans="1:3">
      <c r="A12" t="s">
        <v>781</v>
      </c>
      <c r="B12" s="241">
        <v>336047.82</v>
      </c>
      <c r="C12" s="241">
        <v>96576.37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5092436.9400000004</v>
      </c>
      <c r="C13" s="232">
        <f>SUM(C10:C12)</f>
        <v>2300192.64</v>
      </c>
    </row>
    <row r="14" spans="1:3">
      <c r="B14" s="231"/>
      <c r="C14" s="231"/>
    </row>
    <row r="15" spans="1:3">
      <c r="B15" s="275" t="s">
        <v>783</v>
      </c>
      <c r="C15" s="275"/>
    </row>
    <row r="16" spans="1:3">
      <c r="A16" s="240" t="s">
        <v>787</v>
      </c>
      <c r="B16" s="273" t="s">
        <v>707</v>
      </c>
      <c r="C16" s="274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1670927.9600000002</v>
      </c>
      <c r="C18" s="230">
        <f>'DOE25'!G197+'DOE25'!G215+'DOE25'!G233+'DOE25'!G276+'DOE25'!G295+'DOE25'!G314</f>
        <v>800848.85000000009</v>
      </c>
    </row>
    <row r="19" spans="1:3">
      <c r="A19" t="s">
        <v>779</v>
      </c>
      <c r="B19" s="241">
        <v>740143.89</v>
      </c>
      <c r="C19" s="241">
        <v>351909.21</v>
      </c>
    </row>
    <row r="20" spans="1:3">
      <c r="A20" t="s">
        <v>780</v>
      </c>
      <c r="B20" s="241">
        <v>576029.71</v>
      </c>
      <c r="C20" s="241">
        <v>330203.51</v>
      </c>
    </row>
    <row r="21" spans="1:3">
      <c r="A21" t="s">
        <v>781</v>
      </c>
      <c r="B21" s="241">
        <v>354754.36</v>
      </c>
      <c r="C21" s="241">
        <v>118736.13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1670927.96</v>
      </c>
      <c r="C22" s="232">
        <f>SUM(C19:C21)</f>
        <v>800848.85</v>
      </c>
    </row>
    <row r="23" spans="1:3">
      <c r="B23" s="231"/>
      <c r="C23" s="231"/>
    </row>
    <row r="24" spans="1:3">
      <c r="B24" s="275" t="s">
        <v>783</v>
      </c>
      <c r="C24" s="275"/>
    </row>
    <row r="25" spans="1:3">
      <c r="A25" s="240" t="s">
        <v>788</v>
      </c>
      <c r="B25" s="273" t="s">
        <v>708</v>
      </c>
      <c r="C25" s="274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5" t="s">
        <v>783</v>
      </c>
      <c r="C33" s="275"/>
    </row>
    <row r="34" spans="1:3">
      <c r="A34" s="240" t="s">
        <v>789</v>
      </c>
      <c r="B34" s="273" t="s">
        <v>709</v>
      </c>
      <c r="C34" s="274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67975.12000000001</v>
      </c>
      <c r="C36" s="236">
        <f>'DOE25'!G199+'DOE25'!G217+'DOE25'!G235+'DOE25'!G278+'DOE25'!G297+'DOE25'!G316</f>
        <v>11348.970000000001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67975.12</v>
      </c>
      <c r="C39" s="241">
        <v>11348.97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67975.12</v>
      </c>
      <c r="C40" s="232">
        <f>SUM(C37:C39)</f>
        <v>11348.97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>
      <c r="A2" s="33" t="s">
        <v>717</v>
      </c>
      <c r="B2" s="266" t="str">
        <f>'DOE25'!A2</f>
        <v>Hooksett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17361568.050000001</v>
      </c>
      <c r="D5" s="20">
        <f>SUM('DOE25'!L196:L199)+SUM('DOE25'!L214:L217)+SUM('DOE25'!L232:L235)-F5-G5</f>
        <v>17312637.220000003</v>
      </c>
      <c r="E5" s="244"/>
      <c r="F5" s="256">
        <f>SUM('DOE25'!J196:J199)+SUM('DOE25'!J214:J217)+SUM('DOE25'!J232:J235)</f>
        <v>44584.15</v>
      </c>
      <c r="G5" s="53">
        <f>SUM('DOE25'!K196:K199)+SUM('DOE25'!K214:K217)+SUM('DOE25'!K232:K235)</f>
        <v>4346.68</v>
      </c>
      <c r="H5" s="260"/>
    </row>
    <row r="6" spans="1:9">
      <c r="A6" s="32">
        <v>2100</v>
      </c>
      <c r="B6" t="s">
        <v>801</v>
      </c>
      <c r="C6" s="246">
        <f t="shared" si="0"/>
        <v>1144908.83</v>
      </c>
      <c r="D6" s="20">
        <f>'DOE25'!L201+'DOE25'!L219+'DOE25'!L237-F6-G6</f>
        <v>1139355.0900000001</v>
      </c>
      <c r="E6" s="244"/>
      <c r="F6" s="256">
        <f>'DOE25'!J201+'DOE25'!J219+'DOE25'!J237</f>
        <v>322.94</v>
      </c>
      <c r="G6" s="53">
        <f>'DOE25'!K201+'DOE25'!K219+'DOE25'!K237</f>
        <v>5230.8</v>
      </c>
      <c r="H6" s="260"/>
    </row>
    <row r="7" spans="1:9">
      <c r="A7" s="32">
        <v>2200</v>
      </c>
      <c r="B7" t="s">
        <v>834</v>
      </c>
      <c r="C7" s="246">
        <f t="shared" si="0"/>
        <v>399627.30000000005</v>
      </c>
      <c r="D7" s="20">
        <f>'DOE25'!L202+'DOE25'!L220+'DOE25'!L238-F7-G7</f>
        <v>381784.26000000007</v>
      </c>
      <c r="E7" s="244"/>
      <c r="F7" s="256">
        <f>'DOE25'!J202+'DOE25'!J220+'DOE25'!J238</f>
        <v>17483.04</v>
      </c>
      <c r="G7" s="53">
        <f>'DOE25'!K202+'DOE25'!K220+'DOE25'!K238</f>
        <v>360</v>
      </c>
      <c r="H7" s="260"/>
    </row>
    <row r="8" spans="1:9">
      <c r="A8" s="32">
        <v>2300</v>
      </c>
      <c r="B8" t="s">
        <v>802</v>
      </c>
      <c r="C8" s="246">
        <f t="shared" si="0"/>
        <v>467885.74000000005</v>
      </c>
      <c r="D8" s="244"/>
      <c r="E8" s="20">
        <f>'DOE25'!L203+'DOE25'!L221+'DOE25'!L239-F8-G8-D9-D11</f>
        <v>449715.53</v>
      </c>
      <c r="F8" s="256">
        <f>'DOE25'!J203+'DOE25'!J221+'DOE25'!J239</f>
        <v>5136</v>
      </c>
      <c r="G8" s="53">
        <f>'DOE25'!K203+'DOE25'!K221+'DOE25'!K239</f>
        <v>13034.21</v>
      </c>
      <c r="H8" s="260"/>
    </row>
    <row r="9" spans="1:9">
      <c r="A9" s="32">
        <v>2310</v>
      </c>
      <c r="B9" t="s">
        <v>818</v>
      </c>
      <c r="C9" s="246">
        <f t="shared" si="0"/>
        <v>81767.5</v>
      </c>
      <c r="D9" s="245">
        <v>81767.5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105371.26</v>
      </c>
      <c r="D11" s="245">
        <v>105371.26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969558.91000000015</v>
      </c>
      <c r="D12" s="20">
        <f>'DOE25'!L204+'DOE25'!L222+'DOE25'!L240-F12-G12</f>
        <v>955214.83000000019</v>
      </c>
      <c r="E12" s="244"/>
      <c r="F12" s="256">
        <f>'DOE25'!J204+'DOE25'!J222+'DOE25'!J240</f>
        <v>10664.08</v>
      </c>
      <c r="G12" s="53">
        <f>'DOE25'!K204+'DOE25'!K222+'DOE25'!K240</f>
        <v>3680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1611529.62</v>
      </c>
      <c r="D14" s="20">
        <f>'DOE25'!L206+'DOE25'!L224+'DOE25'!L242-F14-G14</f>
        <v>1546128.6400000001</v>
      </c>
      <c r="E14" s="244"/>
      <c r="F14" s="256">
        <f>'DOE25'!J206+'DOE25'!J224+'DOE25'!J242</f>
        <v>65400.98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1082808.4000000001</v>
      </c>
      <c r="D15" s="20">
        <f>'DOE25'!L207+'DOE25'!L225+'DOE25'!L243-F15-G15</f>
        <v>1082808.4000000001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224627.64999999997</v>
      </c>
      <c r="D16" s="244"/>
      <c r="E16" s="20">
        <f>'DOE25'!L208+'DOE25'!L226+'DOE25'!L244-F16-G16</f>
        <v>191883.28999999998</v>
      </c>
      <c r="F16" s="256">
        <f>'DOE25'!J208+'DOE25'!J226+'DOE25'!J244</f>
        <v>32744.36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13860</v>
      </c>
      <c r="D22" s="244"/>
      <c r="E22" s="244"/>
      <c r="F22" s="256">
        <f>'DOE25'!L254+'DOE25'!L335</f>
        <v>13860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1597040</v>
      </c>
      <c r="D25" s="244"/>
      <c r="E25" s="244"/>
      <c r="F25" s="259"/>
      <c r="G25" s="257"/>
      <c r="H25" s="258">
        <f>'DOE25'!L259+'DOE25'!L260+'DOE25'!L340+'DOE25'!L341</f>
        <v>1597040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378540.22</v>
      </c>
      <c r="D29" s="20">
        <f>'DOE25'!L357+'DOE25'!L358+'DOE25'!L359-'DOE25'!I366-F29-G29</f>
        <v>370798.04</v>
      </c>
      <c r="E29" s="244"/>
      <c r="F29" s="256">
        <f>'DOE25'!J357+'DOE25'!J358+'DOE25'!J359</f>
        <v>7539.1999999999989</v>
      </c>
      <c r="G29" s="53">
        <f>'DOE25'!K357+'DOE25'!K358+'DOE25'!K359</f>
        <v>202.98000000000002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694756.29</v>
      </c>
      <c r="D31" s="20">
        <f>'DOE25'!L289+'DOE25'!L308+'DOE25'!L327+'DOE25'!L332+'DOE25'!L333+'DOE25'!L334-F31-G31</f>
        <v>635563.62</v>
      </c>
      <c r="E31" s="244"/>
      <c r="F31" s="256">
        <f>'DOE25'!J289+'DOE25'!J308+'DOE25'!J327+'DOE25'!J332+'DOE25'!J333+'DOE25'!J334</f>
        <v>46909.38</v>
      </c>
      <c r="G31" s="53">
        <f>'DOE25'!K289+'DOE25'!K308+'DOE25'!K327+'DOE25'!K332+'DOE25'!K333+'DOE25'!K334</f>
        <v>12283.29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23611428.860000007</v>
      </c>
      <c r="E33" s="247">
        <f>SUM(E5:E31)</f>
        <v>655598.82000000007</v>
      </c>
      <c r="F33" s="247">
        <f>SUM(F5:F31)</f>
        <v>244644.13</v>
      </c>
      <c r="G33" s="247">
        <f>SUM(G5:G31)</f>
        <v>39137.96</v>
      </c>
      <c r="H33" s="247">
        <f>SUM(H5:H31)</f>
        <v>1597040</v>
      </c>
    </row>
    <row r="35" spans="2:8" ht="12" thickBot="1">
      <c r="B35" s="254" t="s">
        <v>847</v>
      </c>
      <c r="D35" s="255">
        <f>E33</f>
        <v>655598.82000000007</v>
      </c>
      <c r="E35" s="250"/>
    </row>
    <row r="36" spans="2:8" ht="12" thickTop="1">
      <c r="B36" t="s">
        <v>815</v>
      </c>
      <c r="D36" s="20">
        <f>D33</f>
        <v>23611428.860000007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47" sqref="C47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Hooksett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1150021.01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188099.26</v>
      </c>
      <c r="D11" s="95">
        <f>'DOE25'!G12</f>
        <v>486.21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7459.84</v>
      </c>
      <c r="D12" s="95">
        <f>'DOE25'!G13</f>
        <v>9988.0400000000009</v>
      </c>
      <c r="E12" s="95">
        <f>'DOE25'!H13</f>
        <v>193516.38</v>
      </c>
      <c r="F12" s="95">
        <f>'DOE25'!I13</f>
        <v>0</v>
      </c>
      <c r="G12" s="95">
        <f>'DOE25'!J13</f>
        <v>266506.53999999998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1339.95</v>
      </c>
      <c r="D13" s="95">
        <f>'DOE25'!G14</f>
        <v>0</v>
      </c>
      <c r="E13" s="95">
        <f>'DOE25'!H14</f>
        <v>4.9800000000000004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1346920.06</v>
      </c>
      <c r="D18" s="41">
        <f>SUM(D8:D17)</f>
        <v>10474.25</v>
      </c>
      <c r="E18" s="41">
        <f>SUM(E8:E17)</f>
        <v>193521.36000000002</v>
      </c>
      <c r="F18" s="41">
        <f>SUM(F8:F17)</f>
        <v>0</v>
      </c>
      <c r="G18" s="41">
        <f>SUM(G8:G17)</f>
        <v>266506.53999999998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188585.47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393640.93</v>
      </c>
      <c r="D23" s="95">
        <f>'DOE25'!G24</f>
        <v>72.95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23081.64</v>
      </c>
      <c r="D27" s="95">
        <f>'DOE25'!G28</f>
        <v>332.65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10068.65</v>
      </c>
      <c r="E29" s="95">
        <f>'DOE25'!H30</f>
        <v>4935.8900000000003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416722.57</v>
      </c>
      <c r="D31" s="41">
        <f>SUM(D21:D30)</f>
        <v>10474.25</v>
      </c>
      <c r="E31" s="41">
        <f>SUM(E21:E30)</f>
        <v>193521.36000000002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122300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'DOE25'!F48</f>
        <v>116148.09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266506.53999999998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116148.09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691749.4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1046345.5800000001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266506.53999999998</v>
      </c>
      <c r="H49" s="124"/>
      <c r="I49" s="124"/>
    </row>
    <row r="50" spans="1:9" ht="12" thickTop="1">
      <c r="A50" s="38" t="s">
        <v>895</v>
      </c>
      <c r="B50" s="2"/>
      <c r="C50" s="41">
        <f>C49+C31</f>
        <v>1463068.1500000001</v>
      </c>
      <c r="D50" s="41">
        <f>D49+D31</f>
        <v>10474.25</v>
      </c>
      <c r="E50" s="41">
        <f>E49+E31</f>
        <v>193521.36000000002</v>
      </c>
      <c r="F50" s="41">
        <f>F49+F31</f>
        <v>0</v>
      </c>
      <c r="G50" s="41">
        <f>G49+G31</f>
        <v>266506.53999999998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17210455.309999999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20933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21266.5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2399.4699999999998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293747.33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27092.960000000003</v>
      </c>
      <c r="D60" s="95">
        <f>SUM('DOE25'!G97:G109)</f>
        <v>0</v>
      </c>
      <c r="E60" s="95">
        <f>SUM('DOE25'!H97:H109)</f>
        <v>7619.46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69292.460000000006</v>
      </c>
      <c r="D61" s="130">
        <f>SUM(D56:D60)</f>
        <v>293747.33</v>
      </c>
      <c r="E61" s="130">
        <f>SUM(E56:E60)</f>
        <v>7619.46</v>
      </c>
      <c r="F61" s="130">
        <f>SUM(F56:F60)</f>
        <v>0</v>
      </c>
      <c r="G61" s="130">
        <f>SUM(G56:G60)</f>
        <v>2399.4699999999998</v>
      </c>
      <c r="H61"/>
      <c r="I61"/>
    </row>
    <row r="62" spans="1:9" ht="12" thickTop="1">
      <c r="A62" s="29" t="s">
        <v>175</v>
      </c>
      <c r="B62" s="6"/>
      <c r="C62" s="22">
        <f>C55+C61</f>
        <v>17279747.77</v>
      </c>
      <c r="D62" s="22">
        <f>D55+D61</f>
        <v>293747.33</v>
      </c>
      <c r="E62" s="22">
        <f>E55+E61</f>
        <v>7619.46</v>
      </c>
      <c r="F62" s="22">
        <f>F55+F61</f>
        <v>0</v>
      </c>
      <c r="G62" s="22">
        <f>G55+G61</f>
        <v>2399.4699999999998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3071326.9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3714312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2661.1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14209.39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6802509.3899999997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330172.46999999997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308460.75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6593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638633.22</v>
      </c>
      <c r="D77" s="130">
        <f>SUM(D71:D76)</f>
        <v>6593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1540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7441142.6099999994</v>
      </c>
      <c r="D80" s="130">
        <f>SUM(D78:D79)+D77+D69</f>
        <v>6593</v>
      </c>
      <c r="E80" s="130">
        <f>SUM(E78:E79)+E77+E69</f>
        <v>1540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123666.24000000001</v>
      </c>
      <c r="D87" s="95">
        <f>SUM('DOE25'!G152:G160)</f>
        <v>171742.91</v>
      </c>
      <c r="E87" s="95">
        <f>SUM('DOE25'!H152:H160)</f>
        <v>685596.83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123666.24000000001</v>
      </c>
      <c r="D90" s="131">
        <f>SUM(D84:D89)</f>
        <v>171742.91</v>
      </c>
      <c r="E90" s="131">
        <f>SUM(E84:E89)</f>
        <v>685596.83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117264.5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117264.5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24844556.619999997</v>
      </c>
      <c r="D103" s="86">
        <f>D62+D80+D90+D102</f>
        <v>589347.74</v>
      </c>
      <c r="E103" s="86">
        <f>E62+E80+E90+E102</f>
        <v>694756.28999999992</v>
      </c>
      <c r="F103" s="86">
        <f>F62+F80+F90+F102</f>
        <v>0</v>
      </c>
      <c r="G103" s="86">
        <f>G62+G80+G102</f>
        <v>2399.4699999999998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12609863.32</v>
      </c>
      <c r="D108" s="24" t="s">
        <v>289</v>
      </c>
      <c r="E108" s="95">
        <f>('DOE25'!L275)+('DOE25'!L294)+('DOE25'!L313)</f>
        <v>264585.11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4646193.08</v>
      </c>
      <c r="D109" s="24" t="s">
        <v>289</v>
      </c>
      <c r="E109" s="95">
        <f>('DOE25'!L276)+('DOE25'!L295)+('DOE25'!L314)</f>
        <v>223018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105511.65</v>
      </c>
      <c r="D111" s="24" t="s">
        <v>289</v>
      </c>
      <c r="E111" s="95">
        <f>+('DOE25'!L278)+('DOE25'!L297)+('DOE25'!L316)</f>
        <v>4026.38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17361568.049999997</v>
      </c>
      <c r="D114" s="86">
        <f>SUM(D108:D113)</f>
        <v>0</v>
      </c>
      <c r="E114" s="86">
        <f>SUM(E108:E113)</f>
        <v>491629.49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1144908.83</v>
      </c>
      <c r="D117" s="24" t="s">
        <v>289</v>
      </c>
      <c r="E117" s="95">
        <f>+('DOE25'!L280)+('DOE25'!L299)+('DOE25'!L318)</f>
        <v>141057.38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399627.30000000005</v>
      </c>
      <c r="D118" s="24" t="s">
        <v>289</v>
      </c>
      <c r="E118" s="95">
        <f>+('DOE25'!L281)+('DOE25'!L300)+('DOE25'!L319)</f>
        <v>49583.3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655024.5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969558.91000000015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12283.29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1611529.62</v>
      </c>
      <c r="D122" s="24" t="s">
        <v>289</v>
      </c>
      <c r="E122" s="95">
        <f>+('DOE25'!L285)+('DOE25'!L304)+('DOE25'!L323)</f>
        <v>202.83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1082808.4000000001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224627.64999999997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589347.74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6088085.2100000009</v>
      </c>
      <c r="D127" s="86">
        <f>SUM(D117:D126)</f>
        <v>589347.74</v>
      </c>
      <c r="E127" s="86">
        <f>SUM(E117:E126)</f>
        <v>203126.8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13860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1035000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562040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117264.5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475.77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1923.7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-2399.4700000000003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1728164.5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25177817.759999998</v>
      </c>
      <c r="D144" s="86">
        <f>(D114+D127+D143)</f>
        <v>589347.74</v>
      </c>
      <c r="E144" s="86">
        <f>(E114+E127+E143)</f>
        <v>694756.29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05/02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30732213.059999999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4.51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12400000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12400000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1597040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1597040</v>
      </c>
    </row>
    <row r="158" spans="1:9">
      <c r="A158" s="22" t="s">
        <v>35</v>
      </c>
      <c r="B158" s="137">
        <f>'DOE25'!F497</f>
        <v>11365000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11365000</v>
      </c>
    </row>
    <row r="159" spans="1:9">
      <c r="A159" s="22" t="s">
        <v>36</v>
      </c>
      <c r="B159" s="137">
        <f>'DOE25'!F498</f>
        <v>3076335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3076335</v>
      </c>
    </row>
    <row r="160" spans="1:9">
      <c r="A160" s="22" t="s">
        <v>37</v>
      </c>
      <c r="B160" s="137">
        <f>'DOE25'!F499</f>
        <v>14441335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14441335</v>
      </c>
    </row>
    <row r="161" spans="1:7">
      <c r="A161" s="22" t="s">
        <v>38</v>
      </c>
      <c r="B161" s="137">
        <f>'DOE25'!F500</f>
        <v>1035000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1035000</v>
      </c>
    </row>
    <row r="162" spans="1:7">
      <c r="A162" s="22" t="s">
        <v>39</v>
      </c>
      <c r="B162" s="137">
        <f>'DOE25'!F501</f>
        <v>520122.5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520122.5</v>
      </c>
    </row>
    <row r="163" spans="1:7">
      <c r="A163" s="22" t="s">
        <v>246</v>
      </c>
      <c r="B163" s="137">
        <f>'DOE25'!F502</f>
        <v>1555122.5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1555122.5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1" t="s">
        <v>740</v>
      </c>
      <c r="B1" s="281"/>
      <c r="C1" s="281"/>
      <c r="D1" s="281"/>
    </row>
    <row r="2" spans="1:4">
      <c r="A2" s="187" t="s">
        <v>717</v>
      </c>
      <c r="B2" s="186" t="str">
        <f>'DOE25'!A2</f>
        <v>Hooksett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10855</v>
      </c>
    </row>
    <row r="5" spans="1:4">
      <c r="B5" t="s">
        <v>704</v>
      </c>
      <c r="C5" s="179">
        <f>IF('DOE25'!G664+'DOE25'!G669=0,0,ROUND('DOE25'!G671,0))</f>
        <v>10932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10883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12874448</v>
      </c>
      <c r="D10" s="182">
        <f>ROUND((C10/$C$28)*100,1)</f>
        <v>51.5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4869211</v>
      </c>
      <c r="D11" s="182">
        <f>ROUND((C11/$C$28)*100,1)</f>
        <v>19.5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109538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1285966</v>
      </c>
      <c r="D15" s="182">
        <f t="shared" ref="D15:D27" si="0">ROUND((C15/$C$28)*100,1)</f>
        <v>5.0999999999999996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449211</v>
      </c>
      <c r="D16" s="182">
        <f t="shared" si="0"/>
        <v>1.8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879652</v>
      </c>
      <c r="D17" s="182">
        <f t="shared" si="0"/>
        <v>3.5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969559</v>
      </c>
      <c r="D18" s="182">
        <f t="shared" si="0"/>
        <v>3.9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12283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1611732</v>
      </c>
      <c r="D20" s="182">
        <f t="shared" si="0"/>
        <v>6.4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1082808</v>
      </c>
      <c r="D21" s="182">
        <f t="shared" si="0"/>
        <v>4.3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562040</v>
      </c>
      <c r="D25" s="182">
        <f t="shared" si="0"/>
        <v>2.2000000000000002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295600.67</v>
      </c>
      <c r="D27" s="182">
        <f t="shared" si="0"/>
        <v>1.2</v>
      </c>
    </row>
    <row r="28" spans="1:4">
      <c r="B28" s="187" t="s">
        <v>723</v>
      </c>
      <c r="C28" s="180">
        <f>SUM(C10:C27)</f>
        <v>25002048.670000002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13860</v>
      </c>
    </row>
    <row r="30" spans="1:4">
      <c r="B30" s="187" t="s">
        <v>729</v>
      </c>
      <c r="C30" s="180">
        <f>SUM(C28:C29)</f>
        <v>25015908.670000002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1035000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17210455</v>
      </c>
      <c r="D35" s="182">
        <f t="shared" ref="D35:D40" si="1">ROUND((C35/$C$41)*100,1)</f>
        <v>66.900000000000006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79311.699999999255</v>
      </c>
      <c r="D36" s="182">
        <f t="shared" si="1"/>
        <v>0.3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6788300</v>
      </c>
      <c r="D37" s="182">
        <f t="shared" si="1"/>
        <v>26.4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660976</v>
      </c>
      <c r="D38" s="182">
        <f t="shared" si="1"/>
        <v>2.6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981006</v>
      </c>
      <c r="D39" s="182">
        <f t="shared" si="1"/>
        <v>3.8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25720048.699999999</v>
      </c>
      <c r="D41" s="184">
        <f>SUM(D35:D40)</f>
        <v>99.999999999999986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7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4" t="s">
        <v>767</v>
      </c>
      <c r="B2" s="295"/>
      <c r="C2" s="295"/>
      <c r="D2" s="295"/>
      <c r="E2" s="295"/>
      <c r="F2" s="290" t="str">
        <f>'DOE25'!A2</f>
        <v>Hooksett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71">
        <v>2</v>
      </c>
      <c r="B4" s="272">
        <v>3</v>
      </c>
      <c r="C4" s="282" t="s">
        <v>912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71"/>
      <c r="B5" s="27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71">
        <v>2</v>
      </c>
      <c r="B6" s="272">
        <v>5</v>
      </c>
      <c r="C6" s="282" t="s">
        <v>913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71"/>
      <c r="B7" s="272"/>
      <c r="C7" s="282" t="s">
        <v>914</v>
      </c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23"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8:M8"/>
    <mergeCell ref="A2:E2"/>
    <mergeCell ref="C20:M20"/>
    <mergeCell ref="C29:M29"/>
    <mergeCell ref="C25:M25"/>
    <mergeCell ref="C26:M26"/>
    <mergeCell ref="C27:M27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6:M6"/>
    <mergeCell ref="C7:M7"/>
    <mergeCell ref="C4:M4"/>
    <mergeCell ref="C5:M5"/>
    <mergeCell ref="C56:M56"/>
    <mergeCell ref="C57:M57"/>
    <mergeCell ref="C59:M59"/>
    <mergeCell ref="C60:M60"/>
    <mergeCell ref="C58:M58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2012-10-05T16:36:57Z</cp:lastPrinted>
  <dcterms:created xsi:type="dcterms:W3CDTF">1997-12-04T19:04:30Z</dcterms:created>
  <dcterms:modified xsi:type="dcterms:W3CDTF">2012-11-21T14:44:12Z</dcterms:modified>
</cp:coreProperties>
</file>