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F0A" lockStructure="1"/>
  <bookViews>
    <workbookView xWindow="-15" yWindow="-15" windowWidth="2160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1" l="1"/>
  <c r="C37" i="10"/>
  <c r="C40" i="10"/>
  <c r="C42" i="10"/>
  <c r="B2" i="10"/>
  <c r="I603" i="1"/>
  <c r="J603" i="1"/>
  <c r="J206" i="1"/>
  <c r="G392" i="1"/>
  <c r="G400" i="1"/>
  <c r="G406" i="1"/>
  <c r="G407" i="1"/>
  <c r="J467" i="1" s="1"/>
  <c r="H392" i="1"/>
  <c r="H400" i="1"/>
  <c r="H406" i="1"/>
  <c r="H407" i="1"/>
  <c r="H366" i="1"/>
  <c r="F392" i="1"/>
  <c r="F400" i="1"/>
  <c r="F406" i="1"/>
  <c r="F407" i="1"/>
  <c r="F196" i="1"/>
  <c r="G196" i="1"/>
  <c r="L196" i="1" s="1"/>
  <c r="H196" i="1"/>
  <c r="J196" i="1"/>
  <c r="F197" i="1"/>
  <c r="L197" i="1" s="1"/>
  <c r="G197" i="1"/>
  <c r="H197" i="1"/>
  <c r="I197" i="1"/>
  <c r="J197" i="1"/>
  <c r="L198" i="1"/>
  <c r="C12" i="10" s="1"/>
  <c r="L199" i="1"/>
  <c r="C13" i="10" s="1"/>
  <c r="F201" i="1"/>
  <c r="L201" i="1" s="1"/>
  <c r="C15" i="10" s="1"/>
  <c r="G201" i="1"/>
  <c r="H201" i="1"/>
  <c r="I201" i="1"/>
  <c r="J201" i="1"/>
  <c r="F202" i="1"/>
  <c r="G202" i="1"/>
  <c r="H202" i="1"/>
  <c r="I202" i="1"/>
  <c r="J202" i="1"/>
  <c r="K202" i="1"/>
  <c r="L202" i="1"/>
  <c r="H203" i="1"/>
  <c r="L203" i="1"/>
  <c r="G204" i="1"/>
  <c r="L204" i="1"/>
  <c r="C18" i="10" s="1"/>
  <c r="L205" i="1"/>
  <c r="C19" i="10" s="1"/>
  <c r="F206" i="1"/>
  <c r="G206" i="1"/>
  <c r="H206" i="1"/>
  <c r="I206" i="1"/>
  <c r="L206" i="1"/>
  <c r="F207" i="1"/>
  <c r="G207" i="1"/>
  <c r="L207" i="1" s="1"/>
  <c r="C21" i="10" s="1"/>
  <c r="H207" i="1"/>
  <c r="I207" i="1"/>
  <c r="L208" i="1"/>
  <c r="F214" i="1"/>
  <c r="G214" i="1"/>
  <c r="H214" i="1"/>
  <c r="J214" i="1"/>
  <c r="L214" i="1"/>
  <c r="F215" i="1"/>
  <c r="G215" i="1"/>
  <c r="H215" i="1"/>
  <c r="I215" i="1"/>
  <c r="K215" i="1"/>
  <c r="L215" i="1"/>
  <c r="L216" i="1"/>
  <c r="L217" i="1"/>
  <c r="F219" i="1"/>
  <c r="G219" i="1"/>
  <c r="H219" i="1"/>
  <c r="I219" i="1"/>
  <c r="J219" i="1"/>
  <c r="L219" i="1"/>
  <c r="F220" i="1"/>
  <c r="G220" i="1"/>
  <c r="L220" i="1" s="1"/>
  <c r="H220" i="1"/>
  <c r="I220" i="1"/>
  <c r="J220" i="1"/>
  <c r="K220" i="1"/>
  <c r="H221" i="1"/>
  <c r="L221" i="1" s="1"/>
  <c r="L222" i="1"/>
  <c r="L223" i="1"/>
  <c r="F224" i="1"/>
  <c r="L224" i="1" s="1"/>
  <c r="G224" i="1"/>
  <c r="H224" i="1"/>
  <c r="I224" i="1"/>
  <c r="J224" i="1"/>
  <c r="F225" i="1"/>
  <c r="G225" i="1"/>
  <c r="H225" i="1"/>
  <c r="I225" i="1"/>
  <c r="L225" i="1"/>
  <c r="L226" i="1"/>
  <c r="F232" i="1"/>
  <c r="G232" i="1"/>
  <c r="L232" i="1" s="1"/>
  <c r="H232" i="1"/>
  <c r="J232" i="1"/>
  <c r="F233" i="1"/>
  <c r="L233" i="1" s="1"/>
  <c r="G233" i="1"/>
  <c r="H233" i="1"/>
  <c r="I233" i="1"/>
  <c r="J233" i="1"/>
  <c r="L234" i="1"/>
  <c r="L235" i="1"/>
  <c r="F237" i="1"/>
  <c r="G237" i="1"/>
  <c r="H237" i="1"/>
  <c r="I237" i="1"/>
  <c r="L237" i="1"/>
  <c r="F238" i="1"/>
  <c r="G238" i="1"/>
  <c r="L238" i="1" s="1"/>
  <c r="H238" i="1"/>
  <c r="I238" i="1"/>
  <c r="J238" i="1"/>
  <c r="K238" i="1"/>
  <c r="H239" i="1"/>
  <c r="L239" i="1" s="1"/>
  <c r="L240" i="1"/>
  <c r="L241" i="1"/>
  <c r="F242" i="1"/>
  <c r="L242" i="1" s="1"/>
  <c r="G242" i="1"/>
  <c r="H242" i="1"/>
  <c r="I242" i="1"/>
  <c r="J242" i="1"/>
  <c r="F243" i="1"/>
  <c r="G243" i="1"/>
  <c r="H243" i="1"/>
  <c r="I243" i="1"/>
  <c r="L243" i="1"/>
  <c r="L244" i="1"/>
  <c r="F255" i="1"/>
  <c r="G255" i="1"/>
  <c r="L255" i="1" s="1"/>
  <c r="H255" i="1"/>
  <c r="I255" i="1"/>
  <c r="J255" i="1"/>
  <c r="K255" i="1"/>
  <c r="F269" i="1"/>
  <c r="G269" i="1"/>
  <c r="L269" i="1" s="1"/>
  <c r="H269" i="1"/>
  <c r="I269" i="1"/>
  <c r="J269" i="1"/>
  <c r="K269" i="1"/>
  <c r="F275" i="1"/>
  <c r="G275" i="1"/>
  <c r="L275" i="1"/>
  <c r="L289" i="1" s="1"/>
  <c r="L276" i="1"/>
  <c r="L277" i="1"/>
  <c r="L278" i="1"/>
  <c r="L280" i="1"/>
  <c r="I281" i="1"/>
  <c r="L281" i="1"/>
  <c r="L282" i="1"/>
  <c r="L283" i="1"/>
  <c r="L284" i="1"/>
  <c r="L285" i="1"/>
  <c r="L286" i="1"/>
  <c r="L287" i="1"/>
  <c r="L294" i="1"/>
  <c r="L308" i="1" s="1"/>
  <c r="L295" i="1"/>
  <c r="L296" i="1"/>
  <c r="L297" i="1"/>
  <c r="L299" i="1"/>
  <c r="I300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I319" i="1"/>
  <c r="J319" i="1"/>
  <c r="L319" i="1" s="1"/>
  <c r="L327" i="1" s="1"/>
  <c r="L320" i="1"/>
  <c r="L321" i="1"/>
  <c r="L322" i="1"/>
  <c r="L323" i="1"/>
  <c r="L324" i="1"/>
  <c r="L325" i="1"/>
  <c r="F336" i="1"/>
  <c r="G336" i="1"/>
  <c r="L336" i="1" s="1"/>
  <c r="H336" i="1"/>
  <c r="I336" i="1"/>
  <c r="J336" i="1"/>
  <c r="K336" i="1"/>
  <c r="L340" i="1"/>
  <c r="L341" i="1"/>
  <c r="L350" i="1" s="1"/>
  <c r="L343" i="1"/>
  <c r="L344" i="1"/>
  <c r="L345" i="1"/>
  <c r="L346" i="1"/>
  <c r="L348" i="1"/>
  <c r="L349" i="1"/>
  <c r="L412" i="1"/>
  <c r="L413" i="1"/>
  <c r="L414" i="1"/>
  <c r="L415" i="1"/>
  <c r="L416" i="1"/>
  <c r="L417" i="1"/>
  <c r="L418" i="1"/>
  <c r="L420" i="1"/>
  <c r="L421" i="1"/>
  <c r="L426" i="1" s="1"/>
  <c r="L422" i="1"/>
  <c r="L423" i="1"/>
  <c r="L424" i="1"/>
  <c r="L425" i="1"/>
  <c r="L428" i="1"/>
  <c r="L429" i="1"/>
  <c r="L430" i="1"/>
  <c r="L431" i="1"/>
  <c r="L432" i="1"/>
  <c r="H357" i="1"/>
  <c r="L357" i="1"/>
  <c r="H358" i="1"/>
  <c r="L358" i="1"/>
  <c r="H359" i="1"/>
  <c r="L359" i="1"/>
  <c r="L360" i="1"/>
  <c r="L361" i="1"/>
  <c r="G471" i="1" s="1"/>
  <c r="H59" i="1"/>
  <c r="H78" i="1"/>
  <c r="H93" i="1"/>
  <c r="H110" i="1"/>
  <c r="H111" i="1"/>
  <c r="H120" i="1"/>
  <c r="H135" i="1"/>
  <c r="H139" i="1" s="1"/>
  <c r="H192" i="1" s="1"/>
  <c r="H467" i="1" s="1"/>
  <c r="H146" i="1"/>
  <c r="H153" i="1"/>
  <c r="H160" i="1"/>
  <c r="H161" i="1" s="1"/>
  <c r="H168" i="1" s="1"/>
  <c r="H182" i="1"/>
  <c r="H187" i="1"/>
  <c r="H191" i="1" s="1"/>
  <c r="G59" i="1"/>
  <c r="G110" i="1"/>
  <c r="G111" i="1"/>
  <c r="G120" i="1"/>
  <c r="G131" i="1"/>
  <c r="G135" i="1" s="1"/>
  <c r="G139" i="1" s="1"/>
  <c r="G146" i="1"/>
  <c r="G157" i="1"/>
  <c r="G161" i="1" s="1"/>
  <c r="G168" i="1" s="1"/>
  <c r="G182" i="1"/>
  <c r="G187" i="1"/>
  <c r="G191" i="1" s="1"/>
  <c r="F59" i="1"/>
  <c r="C35" i="10" s="1"/>
  <c r="F78" i="1"/>
  <c r="F93" i="1"/>
  <c r="F110" i="1"/>
  <c r="F111" i="1"/>
  <c r="F120" i="1"/>
  <c r="F135" i="1"/>
  <c r="F139" i="1" s="1"/>
  <c r="F146" i="1"/>
  <c r="F161" i="1"/>
  <c r="F168" i="1"/>
  <c r="F176" i="1"/>
  <c r="F182" i="1"/>
  <c r="F187" i="1"/>
  <c r="F191" i="1"/>
  <c r="H511" i="1"/>
  <c r="F511" i="1"/>
  <c r="F498" i="1"/>
  <c r="F497" i="1"/>
  <c r="G612" i="1"/>
  <c r="F612" i="1"/>
  <c r="G611" i="1"/>
  <c r="F611" i="1"/>
  <c r="G610" i="1"/>
  <c r="F610" i="1"/>
  <c r="J527" i="1"/>
  <c r="I527" i="1"/>
  <c r="H527" i="1"/>
  <c r="G527" i="1"/>
  <c r="F527" i="1"/>
  <c r="J526" i="1"/>
  <c r="I526" i="1"/>
  <c r="H526" i="1"/>
  <c r="G526" i="1"/>
  <c r="F526" i="1"/>
  <c r="J525" i="1"/>
  <c r="I525" i="1"/>
  <c r="H525" i="1"/>
  <c r="G525" i="1"/>
  <c r="F525" i="1"/>
  <c r="H520" i="1"/>
  <c r="J522" i="1"/>
  <c r="I522" i="1"/>
  <c r="G522" i="1"/>
  <c r="F522" i="1"/>
  <c r="J521" i="1"/>
  <c r="I521" i="1"/>
  <c r="G521" i="1"/>
  <c r="F521" i="1"/>
  <c r="I520" i="1"/>
  <c r="G520" i="1"/>
  <c r="F520" i="1"/>
  <c r="H367" i="1"/>
  <c r="G367" i="1"/>
  <c r="F367" i="1"/>
  <c r="G366" i="1"/>
  <c r="F366" i="1"/>
  <c r="F438" i="1"/>
  <c r="G438" i="1"/>
  <c r="F28" i="1"/>
  <c r="H24" i="1"/>
  <c r="G654" i="1"/>
  <c r="H654" i="1"/>
  <c r="J654" i="1" s="1"/>
  <c r="I454" i="1"/>
  <c r="J45" i="1" s="1"/>
  <c r="I457" i="1"/>
  <c r="J39" i="1" s="1"/>
  <c r="G650" i="1"/>
  <c r="J650" i="1" s="1"/>
  <c r="J597" i="1"/>
  <c r="H650" i="1"/>
  <c r="L250" i="1"/>
  <c r="C24" i="10" s="1"/>
  <c r="L251" i="1"/>
  <c r="L252" i="1"/>
  <c r="F660" i="1"/>
  <c r="I366" i="1"/>
  <c r="J289" i="1"/>
  <c r="J308" i="1"/>
  <c r="J327" i="1"/>
  <c r="J337" i="1"/>
  <c r="J351" i="1" s="1"/>
  <c r="K289" i="1"/>
  <c r="K337" i="1" s="1"/>
  <c r="K351" i="1" s="1"/>
  <c r="K308" i="1"/>
  <c r="K327" i="1"/>
  <c r="K350" i="1"/>
  <c r="L332" i="1"/>
  <c r="L333" i="1"/>
  <c r="L334" i="1"/>
  <c r="L259" i="1"/>
  <c r="C32" i="10" s="1"/>
  <c r="L260" i="1"/>
  <c r="C25" i="10" s="1"/>
  <c r="L254" i="1"/>
  <c r="C29" i="10" s="1"/>
  <c r="L335" i="1"/>
  <c r="L386" i="1"/>
  <c r="L387" i="1"/>
  <c r="L392" i="1" s="1"/>
  <c r="L388" i="1"/>
  <c r="L389" i="1"/>
  <c r="L390" i="1"/>
  <c r="L391" i="1"/>
  <c r="L394" i="1"/>
  <c r="L395" i="1"/>
  <c r="L396" i="1"/>
  <c r="L397" i="1"/>
  <c r="L398" i="1"/>
  <c r="L399" i="1"/>
  <c r="L400" i="1"/>
  <c r="L402" i="1"/>
  <c r="L403" i="1"/>
  <c r="L406" i="1" s="1"/>
  <c r="L404" i="1"/>
  <c r="L405" i="1"/>
  <c r="L265" i="1"/>
  <c r="J59" i="1"/>
  <c r="L612" i="1"/>
  <c r="H662" i="1" s="1"/>
  <c r="L611" i="1"/>
  <c r="G662" i="1" s="1"/>
  <c r="L610" i="1"/>
  <c r="F662" i="1" s="1"/>
  <c r="I59" i="1"/>
  <c r="I110" i="1"/>
  <c r="I111" i="1" s="1"/>
  <c r="J110" i="1"/>
  <c r="J111" i="1" s="1"/>
  <c r="J192" i="1" s="1"/>
  <c r="J120" i="1"/>
  <c r="J135" i="1"/>
  <c r="J139" i="1"/>
  <c r="J182" i="1"/>
  <c r="J191" i="1"/>
  <c r="I120" i="1"/>
  <c r="I135" i="1"/>
  <c r="I139" i="1"/>
  <c r="I146" i="1"/>
  <c r="I161" i="1"/>
  <c r="L249" i="1"/>
  <c r="C23" i="10" s="1"/>
  <c r="L331" i="1"/>
  <c r="L253" i="1"/>
  <c r="L267" i="1"/>
  <c r="C26" i="10" s="1"/>
  <c r="L268" i="1"/>
  <c r="I664" i="1"/>
  <c r="I669" i="1"/>
  <c r="H660" i="1"/>
  <c r="I668" i="1"/>
  <c r="L373" i="1"/>
  <c r="L374" i="1"/>
  <c r="L375" i="1"/>
  <c r="L376" i="1"/>
  <c r="L377" i="1"/>
  <c r="L378" i="1"/>
  <c r="L379" i="1"/>
  <c r="L520" i="1"/>
  <c r="F548" i="1"/>
  <c r="L521" i="1"/>
  <c r="F549" i="1"/>
  <c r="L522" i="1"/>
  <c r="L523" i="1"/>
  <c r="L525" i="1"/>
  <c r="G548" i="1"/>
  <c r="L526" i="1"/>
  <c r="L527" i="1"/>
  <c r="L528" i="1" s="1"/>
  <c r="G549" i="1"/>
  <c r="L530" i="1"/>
  <c r="H548" i="1"/>
  <c r="L531" i="1"/>
  <c r="H549" i="1"/>
  <c r="L532" i="1"/>
  <c r="H550" i="1"/>
  <c r="L535" i="1"/>
  <c r="I548" i="1" s="1"/>
  <c r="L536" i="1"/>
  <c r="I549" i="1" s="1"/>
  <c r="L537" i="1"/>
  <c r="I550" i="1" s="1"/>
  <c r="I551" i="1"/>
  <c r="L540" i="1"/>
  <c r="J548" i="1"/>
  <c r="L541" i="1"/>
  <c r="J549" i="1"/>
  <c r="L542" i="1"/>
  <c r="L543" i="1"/>
  <c r="I438" i="1"/>
  <c r="J9" i="1"/>
  <c r="I439" i="1"/>
  <c r="J10" i="1"/>
  <c r="I440" i="1"/>
  <c r="J12" i="1"/>
  <c r="I441" i="1"/>
  <c r="J13" i="1"/>
  <c r="I442" i="1"/>
  <c r="J14" i="1"/>
  <c r="I443" i="1"/>
  <c r="J17" i="1"/>
  <c r="I444" i="1"/>
  <c r="J18" i="1"/>
  <c r="I447" i="1"/>
  <c r="I448" i="1"/>
  <c r="I449" i="1"/>
  <c r="I450" i="1"/>
  <c r="I453" i="1"/>
  <c r="I455" i="1"/>
  <c r="I459" i="1" s="1"/>
  <c r="I456" i="1"/>
  <c r="I458" i="1"/>
  <c r="J23" i="1"/>
  <c r="J24" i="1"/>
  <c r="J31" i="1"/>
  <c r="J48" i="1"/>
  <c r="J43" i="1"/>
  <c r="J37" i="1"/>
  <c r="J47" i="1"/>
  <c r="K418" i="1"/>
  <c r="K426" i="1"/>
  <c r="K432" i="1"/>
  <c r="K433" i="1"/>
  <c r="L262" i="1"/>
  <c r="L263" i="1"/>
  <c r="L264" i="1"/>
  <c r="F499" i="1"/>
  <c r="K499" i="1" s="1"/>
  <c r="G499" i="1"/>
  <c r="H499" i="1"/>
  <c r="I499" i="1"/>
  <c r="J499" i="1"/>
  <c r="F502" i="1"/>
  <c r="K502" i="1" s="1"/>
  <c r="G502" i="1"/>
  <c r="H502" i="1"/>
  <c r="I502" i="1"/>
  <c r="J502" i="1"/>
  <c r="F19" i="1"/>
  <c r="G19" i="1"/>
  <c r="G617" i="1"/>
  <c r="H19" i="1"/>
  <c r="G618" i="1"/>
  <c r="I19" i="1"/>
  <c r="G619" i="1"/>
  <c r="F32" i="1"/>
  <c r="F50" i="1"/>
  <c r="F51" i="1" s="1"/>
  <c r="H616" i="1" s="1"/>
  <c r="G32" i="1"/>
  <c r="G50" i="1"/>
  <c r="G51" i="1" s="1"/>
  <c r="H617" i="1" s="1"/>
  <c r="J617" i="1" s="1"/>
  <c r="H32" i="1"/>
  <c r="I32" i="1"/>
  <c r="H50" i="1"/>
  <c r="G623" i="1"/>
  <c r="H469" i="1"/>
  <c r="I50" i="1"/>
  <c r="G624" i="1" s="1"/>
  <c r="I176" i="1"/>
  <c r="I182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89" i="1"/>
  <c r="F308" i="1"/>
  <c r="F327" i="1"/>
  <c r="F337" i="1"/>
  <c r="F351" i="1" s="1"/>
  <c r="G289" i="1"/>
  <c r="G337" i="1" s="1"/>
  <c r="G351" i="1" s="1"/>
  <c r="H289" i="1"/>
  <c r="H308" i="1"/>
  <c r="H327" i="1"/>
  <c r="H337" i="1"/>
  <c r="H351" i="1" s="1"/>
  <c r="I289" i="1"/>
  <c r="I337" i="1" s="1"/>
  <c r="I351" i="1" s="1"/>
  <c r="G308" i="1"/>
  <c r="G327" i="1"/>
  <c r="I308" i="1"/>
  <c r="I327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H642" i="1"/>
  <c r="H643" i="1"/>
  <c r="I392" i="1"/>
  <c r="I400" i="1"/>
  <c r="I406" i="1"/>
  <c r="I407" i="1"/>
  <c r="H644" i="1"/>
  <c r="F418" i="1"/>
  <c r="F433" i="1" s="1"/>
  <c r="F426" i="1"/>
  <c r="F432" i="1"/>
  <c r="G418" i="1"/>
  <c r="G433" i="1" s="1"/>
  <c r="G426" i="1"/>
  <c r="G432" i="1"/>
  <c r="H418" i="1"/>
  <c r="H433" i="1" s="1"/>
  <c r="I418" i="1"/>
  <c r="I426" i="1"/>
  <c r="I432" i="1"/>
  <c r="I433" i="1"/>
  <c r="J418" i="1"/>
  <c r="J426" i="1"/>
  <c r="J432" i="1"/>
  <c r="J433" i="1"/>
  <c r="H426" i="1"/>
  <c r="H432" i="1"/>
  <c r="F445" i="1"/>
  <c r="G445" i="1"/>
  <c r="G639" i="1"/>
  <c r="H445" i="1"/>
  <c r="I445" i="1"/>
  <c r="G641" i="1" s="1"/>
  <c r="F451" i="1"/>
  <c r="G451" i="1"/>
  <c r="H451" i="1"/>
  <c r="F459" i="1"/>
  <c r="F460" i="1" s="1"/>
  <c r="H638" i="1" s="1"/>
  <c r="J638" i="1" s="1"/>
  <c r="G459" i="1"/>
  <c r="G460" i="1"/>
  <c r="H639" i="1" s="1"/>
  <c r="J639" i="1" s="1"/>
  <c r="H459" i="1"/>
  <c r="H460" i="1"/>
  <c r="H640" i="1" s="1"/>
  <c r="J640" i="1" s="1"/>
  <c r="I469" i="1"/>
  <c r="I473" i="1"/>
  <c r="I475" i="1"/>
  <c r="H624" i="1" s="1"/>
  <c r="J469" i="1"/>
  <c r="G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F528" i="1"/>
  <c r="F533" i="1"/>
  <c r="F538" i="1"/>
  <c r="F543" i="1"/>
  <c r="F544" i="1"/>
  <c r="G523" i="1"/>
  <c r="H523" i="1"/>
  <c r="H544" i="1" s="1"/>
  <c r="H528" i="1"/>
  <c r="H533" i="1"/>
  <c r="H538" i="1"/>
  <c r="H543" i="1"/>
  <c r="I523" i="1"/>
  <c r="J523" i="1"/>
  <c r="K523" i="1"/>
  <c r="G528" i="1"/>
  <c r="G533" i="1"/>
  <c r="G544" i="1" s="1"/>
  <c r="G538" i="1"/>
  <c r="G543" i="1"/>
  <c r="I528" i="1"/>
  <c r="J528" i="1"/>
  <c r="K528" i="1"/>
  <c r="I533" i="1"/>
  <c r="I538" i="1"/>
  <c r="I543" i="1"/>
  <c r="I544" i="1"/>
  <c r="J533" i="1"/>
  <c r="K533" i="1"/>
  <c r="L533" i="1"/>
  <c r="J538" i="1"/>
  <c r="K538" i="1"/>
  <c r="J543" i="1"/>
  <c r="K543" i="1"/>
  <c r="L556" i="1"/>
  <c r="L559" i="1" s="1"/>
  <c r="L557" i="1"/>
  <c r="L558" i="1"/>
  <c r="L561" i="1"/>
  <c r="L564" i="1" s="1"/>
  <c r="L562" i="1"/>
  <c r="L563" i="1"/>
  <c r="L566" i="1"/>
  <c r="L569" i="1" s="1"/>
  <c r="L567" i="1"/>
  <c r="L568" i="1"/>
  <c r="F559" i="1"/>
  <c r="F564" i="1"/>
  <c r="F569" i="1"/>
  <c r="F570" i="1"/>
  <c r="G559" i="1"/>
  <c r="G564" i="1"/>
  <c r="G569" i="1"/>
  <c r="G570" i="1"/>
  <c r="H559" i="1"/>
  <c r="I559" i="1"/>
  <c r="I570" i="1" s="1"/>
  <c r="I564" i="1"/>
  <c r="I569" i="1"/>
  <c r="J559" i="1"/>
  <c r="K559" i="1"/>
  <c r="K564" i="1"/>
  <c r="K569" i="1"/>
  <c r="K570" i="1"/>
  <c r="H564" i="1"/>
  <c r="J564" i="1"/>
  <c r="H569" i="1"/>
  <c r="J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J646" i="1" s="1"/>
  <c r="K591" i="1"/>
  <c r="K592" i="1"/>
  <c r="K593" i="1"/>
  <c r="K594" i="1"/>
  <c r="K595" i="1"/>
  <c r="K596" i="1"/>
  <c r="H597" i="1"/>
  <c r="H648" i="1"/>
  <c r="G648" i="1"/>
  <c r="I597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21" i="1"/>
  <c r="G622" i="1"/>
  <c r="H628" i="1"/>
  <c r="H629" i="1"/>
  <c r="H630" i="1"/>
  <c r="H634" i="1"/>
  <c r="H635" i="1"/>
  <c r="H636" i="1"/>
  <c r="G638" i="1"/>
  <c r="G640" i="1"/>
  <c r="G642" i="1"/>
  <c r="G643" i="1"/>
  <c r="J643" i="1" s="1"/>
  <c r="H649" i="1"/>
  <c r="G651" i="1"/>
  <c r="H651" i="1"/>
  <c r="J651" i="1" s="1"/>
  <c r="G652" i="1"/>
  <c r="H652" i="1"/>
  <c r="G653" i="1"/>
  <c r="H653" i="1"/>
  <c r="K604" i="1"/>
  <c r="G647" i="1" s="1"/>
  <c r="J647" i="1" s="1"/>
  <c r="J570" i="1"/>
  <c r="K544" i="1"/>
  <c r="H570" i="1"/>
  <c r="J544" i="1"/>
  <c r="F256" i="1"/>
  <c r="F270" i="1" s="1"/>
  <c r="K256" i="1"/>
  <c r="K270" i="1"/>
  <c r="I256" i="1"/>
  <c r="I270" i="1"/>
  <c r="G256" i="1"/>
  <c r="G270" i="1"/>
  <c r="G649" i="1"/>
  <c r="J649" i="1"/>
  <c r="G661" i="1"/>
  <c r="J256" i="1"/>
  <c r="J270" i="1"/>
  <c r="H256" i="1"/>
  <c r="H270" i="1"/>
  <c r="F661" i="1"/>
  <c r="H646" i="1"/>
  <c r="J648" i="1"/>
  <c r="I191" i="1"/>
  <c r="J652" i="1"/>
  <c r="G628" i="1"/>
  <c r="J628" i="1"/>
  <c r="J653" i="1"/>
  <c r="L407" i="1"/>
  <c r="H645" i="1" s="1"/>
  <c r="J645" i="1" s="1"/>
  <c r="J642" i="1"/>
  <c r="J19" i="1"/>
  <c r="G620" i="1"/>
  <c r="G645" i="1"/>
  <c r="G630" i="1"/>
  <c r="J630" i="1" s="1"/>
  <c r="G634" i="1"/>
  <c r="J634" i="1" s="1"/>
  <c r="K549" i="1"/>
  <c r="J50" i="1"/>
  <c r="J550" i="1"/>
  <c r="J551" i="1" s="1"/>
  <c r="L538" i="1"/>
  <c r="L544" i="1" s="1"/>
  <c r="K548" i="1"/>
  <c r="L381" i="1"/>
  <c r="G635" i="1"/>
  <c r="J635" i="1" s="1"/>
  <c r="H51" i="1"/>
  <c r="H618" i="1" s="1"/>
  <c r="J618" i="1" s="1"/>
  <c r="H661" i="1"/>
  <c r="G644" i="1"/>
  <c r="J644" i="1" s="1"/>
  <c r="J22" i="1"/>
  <c r="I168" i="1"/>
  <c r="I51" i="1"/>
  <c r="H619" i="1" s="1"/>
  <c r="J619" i="1" s="1"/>
  <c r="F550" i="1"/>
  <c r="G660" i="1"/>
  <c r="I660" i="1" s="1"/>
  <c r="H647" i="1"/>
  <c r="I661" i="1"/>
  <c r="I192" i="1"/>
  <c r="G629" i="1"/>
  <c r="J629" i="1" s="1"/>
  <c r="J32" i="1"/>
  <c r="J51" i="1"/>
  <c r="H620" i="1" s="1"/>
  <c r="G625" i="1"/>
  <c r="G636" i="1"/>
  <c r="J636" i="1" s="1"/>
  <c r="F551" i="1"/>
  <c r="D11" i="13"/>
  <c r="C11" i="13" s="1"/>
  <c r="F19" i="13"/>
  <c r="G19" i="13"/>
  <c r="D19" i="13" s="1"/>
  <c r="C19" i="13" s="1"/>
  <c r="B2" i="13"/>
  <c r="F8" i="13"/>
  <c r="G8" i="13"/>
  <c r="E8" i="13"/>
  <c r="D39" i="13"/>
  <c r="F13" i="13"/>
  <c r="G13" i="13"/>
  <c r="F16" i="13"/>
  <c r="G16" i="13"/>
  <c r="F5" i="13"/>
  <c r="G5" i="13"/>
  <c r="F6" i="13"/>
  <c r="D6" i="13" s="1"/>
  <c r="C6" i="13" s="1"/>
  <c r="G6" i="13"/>
  <c r="F7" i="13"/>
  <c r="G7" i="13"/>
  <c r="F12" i="13"/>
  <c r="G12" i="13"/>
  <c r="F14" i="13"/>
  <c r="D14" i="13" s="1"/>
  <c r="C14" i="13" s="1"/>
  <c r="G14" i="13"/>
  <c r="F15" i="13"/>
  <c r="D15" i="13" s="1"/>
  <c r="C15" i="13" s="1"/>
  <c r="G15" i="13"/>
  <c r="F17" i="13"/>
  <c r="G17" i="13"/>
  <c r="D17" i="13"/>
  <c r="C17" i="13" s="1"/>
  <c r="F18" i="13"/>
  <c r="G18" i="13"/>
  <c r="D18" i="13"/>
  <c r="C18" i="13" s="1"/>
  <c r="F29" i="13"/>
  <c r="D29" i="13" s="1"/>
  <c r="C29" i="13" s="1"/>
  <c r="G29" i="13"/>
  <c r="G31" i="13"/>
  <c r="C10" i="13"/>
  <c r="C9" i="13"/>
  <c r="E13" i="13"/>
  <c r="C13" i="13" s="1"/>
  <c r="D7" i="13"/>
  <c r="C7" i="13" s="1"/>
  <c r="D12" i="13"/>
  <c r="C12" i="13" s="1"/>
  <c r="D5" i="13"/>
  <c r="C5" i="13" s="1"/>
  <c r="H25" i="13"/>
  <c r="H33" i="13" s="1"/>
  <c r="F22" i="13"/>
  <c r="C22" i="13" s="1"/>
  <c r="G33" i="13"/>
  <c r="F31" i="13"/>
  <c r="D31" i="13"/>
  <c r="C31" i="13" s="1"/>
  <c r="E16" i="13"/>
  <c r="C8" i="13"/>
  <c r="C16" i="13"/>
  <c r="F33" i="13"/>
  <c r="G38" i="2"/>
  <c r="C124" i="2"/>
  <c r="C108" i="2"/>
  <c r="C110" i="2"/>
  <c r="C120" i="2"/>
  <c r="E118" i="2"/>
  <c r="E119" i="2"/>
  <c r="E122" i="2"/>
  <c r="E113" i="2"/>
  <c r="C138" i="2"/>
  <c r="C139" i="2"/>
  <c r="D55" i="2"/>
  <c r="C56" i="2"/>
  <c r="F84" i="2"/>
  <c r="F86" i="2"/>
  <c r="F87" i="2"/>
  <c r="F88" i="2"/>
  <c r="F90" i="2"/>
  <c r="C141" i="2"/>
  <c r="E142" i="2"/>
  <c r="F129" i="2"/>
  <c r="F133" i="2"/>
  <c r="G9" i="2"/>
  <c r="G11" i="2"/>
  <c r="G12" i="2"/>
  <c r="G13" i="2"/>
  <c r="G16" i="2"/>
  <c r="G17" i="2"/>
  <c r="G22" i="2"/>
  <c r="G23" i="2"/>
  <c r="G47" i="2"/>
  <c r="G42" i="2"/>
  <c r="G46" i="2"/>
  <c r="G133" i="2"/>
  <c r="G143" i="2"/>
  <c r="C134" i="2"/>
  <c r="C135" i="2"/>
  <c r="E163" i="2"/>
  <c r="F40" i="2"/>
  <c r="D3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G44" i="2"/>
  <c r="C67" i="2"/>
  <c r="C65" i="2"/>
  <c r="C69" i="2" s="1"/>
  <c r="C80" i="2" s="1"/>
  <c r="C66" i="2"/>
  <c r="C68" i="2"/>
  <c r="G55" i="2"/>
  <c r="G58" i="2"/>
  <c r="G60" i="2"/>
  <c r="G61" i="2" s="1"/>
  <c r="G62" i="2" s="1"/>
  <c r="E131" i="2"/>
  <c r="E130" i="2"/>
  <c r="C131" i="2"/>
  <c r="C130" i="2"/>
  <c r="A1" i="2"/>
  <c r="A2" i="2"/>
  <c r="C8" i="2"/>
  <c r="D8" i="2"/>
  <c r="E8" i="2"/>
  <c r="F8" i="2"/>
  <c r="C9" i="2"/>
  <c r="D9" i="2"/>
  <c r="E9" i="2"/>
  <c r="F9" i="2"/>
  <c r="C10" i="2"/>
  <c r="C11" i="2"/>
  <c r="D11" i="2"/>
  <c r="E11" i="2"/>
  <c r="F11" i="2"/>
  <c r="F12" i="2"/>
  <c r="F13" i="2"/>
  <c r="F14" i="2"/>
  <c r="F15" i="2"/>
  <c r="F16" i="2"/>
  <c r="F17" i="2"/>
  <c r="F18" i="2"/>
  <c r="C12" i="2"/>
  <c r="D12" i="2"/>
  <c r="E12" i="2"/>
  <c r="C13" i="2"/>
  <c r="D13" i="2"/>
  <c r="E13" i="2"/>
  <c r="C15" i="2"/>
  <c r="D15" i="2"/>
  <c r="E15" i="2"/>
  <c r="C16" i="2"/>
  <c r="D16" i="2"/>
  <c r="E16" i="2"/>
  <c r="C17" i="2"/>
  <c r="D17" i="2"/>
  <c r="E17" i="2"/>
  <c r="C21" i="2"/>
  <c r="D21" i="2"/>
  <c r="E21" i="2"/>
  <c r="E31" i="2" s="1"/>
  <c r="F21" i="2"/>
  <c r="F22" i="2"/>
  <c r="F31" i="2" s="1"/>
  <c r="F50" i="2" s="1"/>
  <c r="F23" i="2"/>
  <c r="F24" i="2"/>
  <c r="F25" i="2"/>
  <c r="F26" i="2"/>
  <c r="F27" i="2"/>
  <c r="F28" i="2"/>
  <c r="F29" i="2"/>
  <c r="F30" i="2"/>
  <c r="C22" i="2"/>
  <c r="D22" i="2"/>
  <c r="E22" i="2"/>
  <c r="C23" i="2"/>
  <c r="D23" i="2"/>
  <c r="E23" i="2"/>
  <c r="C24" i="2"/>
  <c r="D24" i="2"/>
  <c r="E24" i="2"/>
  <c r="C25" i="2"/>
  <c r="C26" i="2"/>
  <c r="C27" i="2"/>
  <c r="D27" i="2"/>
  <c r="E27" i="2"/>
  <c r="C28" i="2"/>
  <c r="D28" i="2"/>
  <c r="E28" i="2"/>
  <c r="C29" i="2"/>
  <c r="D29" i="2"/>
  <c r="E29" i="2"/>
  <c r="C30" i="2"/>
  <c r="D30" i="2"/>
  <c r="E30" i="2"/>
  <c r="E34" i="2"/>
  <c r="E35" i="2"/>
  <c r="E49" i="2"/>
  <c r="E50" i="2" s="1"/>
  <c r="G30" i="2"/>
  <c r="C34" i="2"/>
  <c r="D34" i="2"/>
  <c r="D35" i="2"/>
  <c r="D49" i="2"/>
  <c r="F34" i="2"/>
  <c r="C35" i="2"/>
  <c r="C48" i="2"/>
  <c r="C49" i="2"/>
  <c r="F35" i="2"/>
  <c r="C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D68" i="2"/>
  <c r="D69" i="2"/>
  <c r="E68" i="2"/>
  <c r="E69" i="2"/>
  <c r="F68" i="2"/>
  <c r="F69" i="2"/>
  <c r="G68" i="2"/>
  <c r="G69" i="2"/>
  <c r="C71" i="2"/>
  <c r="F71" i="2"/>
  <c r="F72" i="2"/>
  <c r="F75" i="2"/>
  <c r="F76" i="2"/>
  <c r="F77" i="2"/>
  <c r="C72" i="2"/>
  <c r="C73" i="2"/>
  <c r="C74" i="2"/>
  <c r="C75" i="2"/>
  <c r="E75" i="2"/>
  <c r="E76" i="2"/>
  <c r="E77" i="2" s="1"/>
  <c r="E80" i="2" s="1"/>
  <c r="E78" i="2"/>
  <c r="E79" i="2"/>
  <c r="C76" i="2"/>
  <c r="D76" i="2"/>
  <c r="D77" i="2" s="1"/>
  <c r="D80" i="2" s="1"/>
  <c r="D103" i="2" s="1"/>
  <c r="D78" i="2"/>
  <c r="G76" i="2"/>
  <c r="G77" i="2" s="1"/>
  <c r="G80" i="2" s="1"/>
  <c r="C78" i="2"/>
  <c r="C79" i="2"/>
  <c r="C84" i="2"/>
  <c r="D84" i="2"/>
  <c r="E84" i="2"/>
  <c r="C86" i="2"/>
  <c r="E86" i="2"/>
  <c r="C87" i="2"/>
  <c r="D87" i="2"/>
  <c r="E87" i="2"/>
  <c r="C88" i="2"/>
  <c r="D88" i="2"/>
  <c r="E88" i="2"/>
  <c r="C89" i="2"/>
  <c r="C92" i="2"/>
  <c r="F92" i="2"/>
  <c r="C93" i="2"/>
  <c r="F93" i="2"/>
  <c r="D95" i="2"/>
  <c r="D96" i="2"/>
  <c r="D97" i="2"/>
  <c r="D98" i="2"/>
  <c r="D99" i="2"/>
  <c r="D100" i="2"/>
  <c r="D101" i="2"/>
  <c r="D102" i="2"/>
  <c r="E95" i="2"/>
  <c r="E96" i="2"/>
  <c r="E97" i="2"/>
  <c r="E98" i="2"/>
  <c r="E99" i="2"/>
  <c r="E100" i="2"/>
  <c r="E101" i="2"/>
  <c r="E102" i="2"/>
  <c r="F95" i="2"/>
  <c r="G95" i="2"/>
  <c r="C96" i="2"/>
  <c r="F96" i="2"/>
  <c r="G96" i="2"/>
  <c r="C97" i="2"/>
  <c r="G97" i="2"/>
  <c r="C98" i="2"/>
  <c r="C99" i="2"/>
  <c r="C100" i="2"/>
  <c r="C101" i="2"/>
  <c r="C102" i="2"/>
  <c r="F98" i="2"/>
  <c r="F99" i="2"/>
  <c r="F100" i="2"/>
  <c r="F101" i="2"/>
  <c r="E108" i="2"/>
  <c r="E111" i="2"/>
  <c r="E112" i="2"/>
  <c r="D114" i="2"/>
  <c r="F114" i="2"/>
  <c r="G114" i="2"/>
  <c r="G127" i="2"/>
  <c r="G144" i="2"/>
  <c r="E117" i="2"/>
  <c r="C119" i="2"/>
  <c r="E120" i="2"/>
  <c r="C121" i="2"/>
  <c r="E121" i="2"/>
  <c r="E124" i="2"/>
  <c r="F127" i="2"/>
  <c r="C129" i="2"/>
  <c r="E129" i="2"/>
  <c r="D133" i="2"/>
  <c r="D143" i="2" s="1"/>
  <c r="E133" i="2"/>
  <c r="E134" i="2"/>
  <c r="C136" i="2"/>
  <c r="E136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G159" i="2" s="1"/>
  <c r="C159" i="2"/>
  <c r="D159" i="2"/>
  <c r="E159" i="2"/>
  <c r="F159" i="2"/>
  <c r="B160" i="2"/>
  <c r="G160" i="2" s="1"/>
  <c r="C160" i="2"/>
  <c r="D160" i="2"/>
  <c r="E160" i="2"/>
  <c r="F160" i="2"/>
  <c r="B161" i="2"/>
  <c r="G161" i="2" s="1"/>
  <c r="C161" i="2"/>
  <c r="D161" i="2"/>
  <c r="E161" i="2"/>
  <c r="F161" i="2"/>
  <c r="B162" i="2"/>
  <c r="G162" i="2" s="1"/>
  <c r="C162" i="2"/>
  <c r="D162" i="2"/>
  <c r="E162" i="2"/>
  <c r="F162" i="2"/>
  <c r="B163" i="2"/>
  <c r="C163" i="2"/>
  <c r="D163" i="2"/>
  <c r="F163" i="2"/>
  <c r="G163" i="2"/>
  <c r="C18" i="2"/>
  <c r="D61" i="2"/>
  <c r="F102" i="2"/>
  <c r="F61" i="2"/>
  <c r="F62" i="2" s="1"/>
  <c r="F103" i="2" s="1"/>
  <c r="F49" i="2"/>
  <c r="G157" i="2"/>
  <c r="G102" i="2"/>
  <c r="G36" i="2"/>
  <c r="G49" i="2" s="1"/>
  <c r="G50" i="2" s="1"/>
  <c r="C123" i="2"/>
  <c r="C118" i="2"/>
  <c r="C117" i="2"/>
  <c r="E90" i="2"/>
  <c r="D90" i="2"/>
  <c r="C90" i="2"/>
  <c r="C77" i="2"/>
  <c r="E61" i="2"/>
  <c r="E62" i="2" s="1"/>
  <c r="E103" i="2" s="1"/>
  <c r="D62" i="2"/>
  <c r="C61" i="2"/>
  <c r="C62" i="2"/>
  <c r="C103" i="2" s="1"/>
  <c r="E18" i="2"/>
  <c r="D31" i="2"/>
  <c r="D50" i="2" s="1"/>
  <c r="D18" i="2"/>
  <c r="C31" i="2"/>
  <c r="C50" i="2"/>
  <c r="C137" i="2"/>
  <c r="C140" i="2"/>
  <c r="C143" i="2" s="1"/>
  <c r="F80" i="2"/>
  <c r="G8" i="2"/>
  <c r="G18" i="2" s="1"/>
  <c r="E143" i="2"/>
  <c r="C122" i="2"/>
  <c r="C113" i="2"/>
  <c r="C109" i="2"/>
  <c r="E109" i="2"/>
  <c r="E123" i="2"/>
  <c r="E127" i="2" s="1"/>
  <c r="E110" i="2"/>
  <c r="E114" i="2" s="1"/>
  <c r="C111" i="2"/>
  <c r="D126" i="2"/>
  <c r="D127" i="2" s="1"/>
  <c r="C112" i="2"/>
  <c r="C127" i="2"/>
  <c r="C114" i="2"/>
  <c r="C144" i="2" s="1"/>
  <c r="G21" i="2"/>
  <c r="G31" i="2" s="1"/>
  <c r="C20" i="12"/>
  <c r="B20" i="12"/>
  <c r="C21" i="12"/>
  <c r="B21" i="12"/>
  <c r="C10" i="12"/>
  <c r="C13" i="12" s="1"/>
  <c r="B12" i="12"/>
  <c r="B10" i="12"/>
  <c r="C12" i="12"/>
  <c r="C11" i="12"/>
  <c r="B4" i="12"/>
  <c r="B36" i="12"/>
  <c r="C36" i="12"/>
  <c r="B40" i="12"/>
  <c r="C40" i="12"/>
  <c r="B27" i="12"/>
  <c r="B31" i="12"/>
  <c r="C27" i="12"/>
  <c r="C31" i="12"/>
  <c r="A31" i="12"/>
  <c r="B9" i="12"/>
  <c r="B13" i="12"/>
  <c r="A13" i="12" s="1"/>
  <c r="C9" i="12"/>
  <c r="B18" i="12"/>
  <c r="B22" i="12"/>
  <c r="C22" i="12"/>
  <c r="C18" i="12"/>
  <c r="A22" i="12"/>
  <c r="B1" i="12"/>
  <c r="A40" i="12"/>
  <c r="F143" i="2" l="1"/>
  <c r="F144" i="2" s="1"/>
  <c r="J620" i="1"/>
  <c r="J624" i="1"/>
  <c r="D144" i="2"/>
  <c r="E144" i="2"/>
  <c r="G103" i="2"/>
  <c r="L570" i="1"/>
  <c r="J633" i="1"/>
  <c r="I451" i="1"/>
  <c r="I460" i="1" s="1"/>
  <c r="H641" i="1" s="1"/>
  <c r="J641" i="1" s="1"/>
  <c r="H551" i="1"/>
  <c r="C39" i="10"/>
  <c r="G192" i="1"/>
  <c r="L433" i="1"/>
  <c r="L246" i="1"/>
  <c r="H659" i="1" s="1"/>
  <c r="H663" i="1" s="1"/>
  <c r="L228" i="1"/>
  <c r="G659" i="1" s="1"/>
  <c r="G663" i="1" s="1"/>
  <c r="C20" i="10"/>
  <c r="C17" i="10"/>
  <c r="C16" i="10"/>
  <c r="C11" i="10"/>
  <c r="D33" i="13"/>
  <c r="D36" i="13" s="1"/>
  <c r="C25" i="13"/>
  <c r="E33" i="13"/>
  <c r="D35" i="13" s="1"/>
  <c r="I662" i="1"/>
  <c r="C38" i="10"/>
  <c r="F192" i="1"/>
  <c r="C36" i="10"/>
  <c r="C41" i="10" s="1"/>
  <c r="L337" i="1"/>
  <c r="L351" i="1" s="1"/>
  <c r="C10" i="10"/>
  <c r="L210" i="1"/>
  <c r="C27" i="10"/>
  <c r="G550" i="1"/>
  <c r="D40" i="10" l="1"/>
  <c r="D37" i="10"/>
  <c r="D35" i="10"/>
  <c r="C28" i="10"/>
  <c r="D27" i="10" s="1"/>
  <c r="H471" i="1"/>
  <c r="G632" i="1"/>
  <c r="F467" i="1"/>
  <c r="G626" i="1"/>
  <c r="D17" i="10"/>
  <c r="D20" i="10"/>
  <c r="G671" i="1"/>
  <c r="C5" i="10" s="1"/>
  <c r="G666" i="1"/>
  <c r="J471" i="1"/>
  <c r="G637" i="1"/>
  <c r="D39" i="10"/>
  <c r="G551" i="1"/>
  <c r="K550" i="1"/>
  <c r="K551" i="1" s="1"/>
  <c r="L256" i="1"/>
  <c r="L270" i="1" s="1"/>
  <c r="F659" i="1"/>
  <c r="D36" i="10"/>
  <c r="D38" i="10"/>
  <c r="D11" i="10"/>
  <c r="D16" i="10"/>
  <c r="H666" i="1"/>
  <c r="H671" i="1"/>
  <c r="C6" i="10" s="1"/>
  <c r="G467" i="1"/>
  <c r="G627" i="1"/>
  <c r="G469" i="1" l="1"/>
  <c r="G475" i="1" s="1"/>
  <c r="H622" i="1" s="1"/>
  <c r="J622" i="1" s="1"/>
  <c r="H627" i="1"/>
  <c r="F471" i="1"/>
  <c r="G631" i="1"/>
  <c r="D10" i="10"/>
  <c r="J627" i="1"/>
  <c r="I659" i="1"/>
  <c r="I663" i="1" s="1"/>
  <c r="F663" i="1"/>
  <c r="J473" i="1"/>
  <c r="J475" i="1" s="1"/>
  <c r="H625" i="1" s="1"/>
  <c r="J625" i="1" s="1"/>
  <c r="H637" i="1"/>
  <c r="J637" i="1" s="1"/>
  <c r="H626" i="1"/>
  <c r="J626" i="1" s="1"/>
  <c r="F469" i="1"/>
  <c r="H632" i="1"/>
  <c r="J632" i="1" s="1"/>
  <c r="H473" i="1"/>
  <c r="H475" i="1" s="1"/>
  <c r="H623" i="1" s="1"/>
  <c r="J623" i="1" s="1"/>
  <c r="C30" i="10"/>
  <c r="D22" i="10"/>
  <c r="D24" i="10"/>
  <c r="D21" i="10"/>
  <c r="D18" i="10"/>
  <c r="D19" i="10"/>
  <c r="D12" i="10"/>
  <c r="D26" i="10"/>
  <c r="D13" i="10"/>
  <c r="D23" i="10"/>
  <c r="D25" i="10"/>
  <c r="D15" i="10"/>
  <c r="D41" i="10"/>
  <c r="F671" i="1" l="1"/>
  <c r="C4" i="10" s="1"/>
  <c r="F666" i="1"/>
  <c r="I666" i="1"/>
  <c r="I671" i="1"/>
  <c r="C7" i="10" s="1"/>
  <c r="D28" i="10"/>
  <c r="F473" i="1"/>
  <c r="F475" i="1" s="1"/>
  <c r="H621" i="1" s="1"/>
  <c r="H631" i="1"/>
  <c r="J631" i="1" s="1"/>
  <c r="J621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<sst xmlns="http://schemas.openxmlformats.org/spreadsheetml/2006/main" count="3971" uniqueCount="915">
  <si>
    <t>(5) Transportation</t>
  </si>
  <si>
    <t>(6) Total</t>
  </si>
  <si>
    <t>Lines 1,2,3</t>
  </si>
  <si>
    <t>Lines 5,6,7</t>
  </si>
  <si>
    <t>Lines 9,10,11</t>
  </si>
  <si>
    <t>Lines 13, 14,15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</si>
  <si>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</si>
  <si>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</si>
  <si>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</si>
  <si>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</si>
  <si>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</si>
  <si>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</si>
  <si>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</si>
  <si>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</si>
  <si>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</si>
  <si>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</si>
  <si>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</si>
  <si>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</si>
  <si>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</si>
  <si>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</si>
  <si>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</si>
  <si>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</si>
  <si>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</si>
  <si>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</si>
  <si>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</si>
  <si>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</si>
  <si>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23/8/6</t>
  </si>
  <si>
    <t>6. Other Revenue from Local Sources</t>
  </si>
  <si>
    <t>TRUST FUNDS:</t>
  </si>
  <si>
    <t>COMBINING BALANCE SHEET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</si>
  <si>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</si>
  <si>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</si>
  <si>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</si>
  <si>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</si>
  <si>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</si>
  <si>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</si>
  <si>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</si>
  <si>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</si>
  <si>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</si>
  <si>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</si>
  <si>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</si>
  <si>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</si>
  <si>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</si>
  <si>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</si>
  <si>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Subtotal (Lines 9 thru 11)</t>
  </si>
  <si>
    <t>LEGAL</t>
  </si>
  <si>
    <t>Subtotal (Lines 13 thru 15)</t>
  </si>
  <si>
    <t>TRANSPORTATION</t>
  </si>
  <si>
    <t>Instruction</t>
  </si>
  <si>
    <t>1.  Regular Programs</t>
  </si>
  <si>
    <t>1100-1199</t>
  </si>
  <si>
    <t>2. Special Programs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</si>
  <si>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</si>
  <si>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</si>
  <si>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</si>
  <si>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</si>
  <si>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</si>
  <si>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</si>
  <si>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 xml:space="preserve"> </t>
    <phoneticPr fontId="0" type="noConversion"/>
  </si>
  <si>
    <t xml:space="preserve"> </t>
    <phoneticPr fontId="0" type="noConversion"/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</si>
  <si>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</si>
  <si>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</si>
  <si>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</si>
  <si>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</si>
  <si>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</si>
  <si>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</si>
  <si>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</si>
  <si>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</si>
  <si>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</si>
  <si>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</si>
  <si>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</si>
  <si>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</si>
  <si>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</si>
  <si>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</si>
  <si>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</si>
  <si>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1300-1399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</si>
  <si>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</si>
  <si>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</si>
  <si>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</si>
  <si>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</si>
  <si>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</si>
  <si>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</si>
  <si>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</si>
  <si>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</si>
  <si>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</si>
  <si>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</si>
  <si>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4000-4999</t>
  </si>
  <si>
    <t>20. Debt Service - Principal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</si>
  <si>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</si>
  <si>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</si>
  <si>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</si>
  <si>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</si>
  <si>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</si>
  <si>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</si>
  <si>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</si>
  <si>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</si>
  <si>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</si>
  <si>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</si>
  <si>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</si>
  <si>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</si>
  <si>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</si>
  <si>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</si>
  <si>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</si>
  <si>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</si>
  <si>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</si>
  <si>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</si>
  <si>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</si>
  <si>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</si>
  <si>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</si>
  <si>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</si>
  <si>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32.  Total Other Outlays and Financing Uses (Lines 19-31)</t>
  </si>
  <si>
    <t>Lines 17, 18,19</t>
  </si>
  <si>
    <t>CULTURALLY DEPRIVED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</si>
  <si>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</si>
  <si>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</si>
  <si>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</si>
  <si>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</si>
  <si>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</si>
  <si>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</si>
  <si>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</si>
  <si>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</si>
  <si>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</si>
  <si>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</si>
  <si>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</si>
  <si>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</si>
  <si>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</si>
  <si>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</si>
  <si>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</si>
  <si>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</si>
  <si>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</si>
  <si>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</si>
  <si>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</si>
  <si>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20. Total Restricted Grants-in Aid (Lines 14-19)</t>
  </si>
  <si>
    <t>18/8/1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</si>
  <si>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</si>
  <si>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</si>
  <si>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</si>
  <si>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</si>
  <si>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</si>
  <si>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</si>
  <si>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</si>
  <si>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</si>
  <si>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</si>
  <si>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</si>
  <si>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</si>
  <si>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</si>
  <si>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</si>
  <si>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</si>
  <si>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</si>
  <si>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</si>
  <si>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</si>
  <si>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</si>
  <si>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</si>
  <si>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</si>
  <si>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</si>
  <si>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</si>
  <si>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</si>
  <si>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</si>
  <si>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</si>
  <si>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</si>
  <si>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</si>
  <si>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*** Must agree with total for:</t>
  </si>
  <si>
    <t xml:space="preserve">  1</t>
  </si>
  <si>
    <t xml:space="preserve">  2</t>
  </si>
  <si>
    <t>6.  OTHER RECEIVABLES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</si>
  <si>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</si>
  <si>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</si>
  <si>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</si>
  <si>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</si>
  <si>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</si>
  <si>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</si>
  <si>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</si>
  <si>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</si>
  <si>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</si>
  <si>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</si>
  <si>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</si>
  <si>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</si>
  <si>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</si>
  <si>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</si>
  <si>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</si>
  <si>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</si>
  <si>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</si>
  <si>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</si>
  <si>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</si>
  <si>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</si>
  <si>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</si>
  <si>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</si>
  <si>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</si>
  <si>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</si>
  <si>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</si>
  <si>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</si>
  <si>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</si>
  <si>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</si>
  <si>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COMPENSATION FOR LOSS OF FIXED ASSETS</t>
  </si>
  <si>
    <t>CAPITAL LEASES</t>
  </si>
  <si>
    <t>LEASE PURCHASES</t>
  </si>
  <si>
    <t>SALARIES</t>
  </si>
  <si>
    <t>1700-1999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</si>
  <si>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</si>
  <si>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</si>
  <si>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</si>
  <si>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</si>
  <si>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</si>
  <si>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</si>
  <si>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</si>
  <si>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</si>
  <si>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</si>
  <si>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</si>
  <si>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</si>
  <si>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</si>
  <si>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</si>
  <si>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</si>
  <si>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</si>
  <si>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</si>
  <si>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</si>
  <si>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</si>
  <si>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</si>
  <si>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</si>
  <si>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</si>
  <si>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</si>
  <si>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</si>
  <si>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</si>
  <si>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</si>
  <si>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</si>
  <si>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</si>
  <si>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TRANSFER TO OTHER FUNDS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</si>
  <si>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</si>
  <si>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</si>
  <si>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</si>
  <si>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</si>
  <si>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</si>
  <si>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</si>
  <si>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</si>
  <si>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</si>
  <si>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</si>
  <si>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</si>
  <si>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</si>
  <si>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</si>
  <si>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</si>
  <si>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</si>
  <si>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</si>
  <si>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</si>
  <si>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</si>
  <si>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</si>
  <si>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</si>
  <si>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</si>
  <si>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</si>
  <si>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</si>
  <si>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</si>
  <si>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</si>
  <si>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</si>
  <si>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</si>
  <si>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</si>
  <si>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</si>
  <si>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</si>
  <si>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</si>
  <si>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</si>
  <si>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</si>
  <si>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</si>
  <si>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</si>
  <si>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</si>
  <si>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</si>
  <si>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</si>
  <si>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</si>
  <si>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</si>
  <si>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</si>
  <si>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</si>
  <si>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</si>
  <si>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</si>
  <si>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</si>
  <si>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Total Elementary Expenditures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</si>
  <si>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</si>
  <si>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</si>
  <si>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</si>
  <si>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</si>
  <si>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</si>
  <si>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</si>
  <si>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</si>
  <si>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</si>
  <si>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</si>
  <si>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</si>
  <si>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</si>
  <si>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</si>
  <si>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</si>
  <si>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</si>
  <si>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</si>
  <si>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</si>
  <si>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</si>
  <si>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</si>
  <si>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</si>
  <si>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</si>
  <si>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</si>
  <si>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</si>
  <si>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</si>
  <si>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</si>
  <si>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</si>
  <si>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</si>
  <si>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 xml:space="preserve">    CENTRAL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</si>
  <si>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</si>
  <si>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</si>
  <si>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</si>
  <si>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</si>
  <si>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</si>
  <si>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</si>
  <si>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</si>
  <si>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</si>
  <si>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</si>
  <si>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</si>
  <si>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</si>
  <si>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</si>
  <si>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</si>
  <si>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</si>
  <si>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</si>
  <si>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</si>
  <si>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</si>
  <si>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</si>
  <si>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</si>
  <si>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</si>
  <si>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</si>
  <si>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</si>
  <si>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</si>
  <si>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</si>
  <si>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</si>
  <si>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</si>
  <si>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</si>
  <si>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</si>
  <si>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</si>
  <si>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</si>
  <si>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</si>
  <si>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</si>
  <si>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</si>
  <si>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</si>
  <si>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</si>
  <si>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</si>
  <si>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</si>
  <si>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</si>
  <si>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</si>
  <si>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</si>
  <si>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</si>
  <si>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</si>
  <si>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</si>
  <si>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</si>
  <si>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</si>
  <si>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</si>
  <si>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</si>
  <si>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</si>
  <si>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</si>
  <si>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</si>
  <si>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</si>
  <si>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</si>
  <si>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</si>
  <si>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</si>
  <si>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</si>
  <si>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</si>
  <si>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</si>
  <si>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</si>
  <si>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</si>
  <si>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</si>
  <si>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>COMBINING STATEMENT OF EXPENDITURES</t>
  </si>
  <si>
    <t xml:space="preserve">   VOCATIONAL PROGRAMS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</si>
  <si>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</si>
  <si>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</si>
  <si>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</si>
  <si>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</si>
  <si>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</si>
  <si>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</si>
  <si>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</si>
  <si>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</si>
  <si>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</si>
  <si>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</si>
  <si>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</si>
  <si>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</si>
  <si>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</si>
  <si>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</si>
  <si>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</si>
  <si>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</si>
  <si>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</si>
  <si>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</si>
  <si>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</si>
  <si>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</si>
  <si>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</si>
  <si>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</si>
  <si>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</si>
  <si>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</si>
  <si>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</si>
  <si>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</si>
  <si>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</si>
  <si>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</si>
  <si>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 xml:space="preserve">  SALE OF FIXED ASSETS</t>
  </si>
  <si>
    <t>SUMMARY OF OBJECT 600 SUPPLIES (COLUMN 4)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</si>
  <si>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</si>
  <si>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</si>
  <si>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</si>
  <si>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</si>
  <si>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</si>
  <si>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</si>
  <si>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</si>
  <si>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</si>
  <si>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</si>
  <si>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</si>
  <si>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</si>
  <si>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</si>
  <si>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</si>
  <si>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</si>
  <si>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</si>
  <si>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</si>
  <si>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</si>
  <si>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</si>
  <si>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</si>
  <si>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</si>
  <si>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</si>
  <si>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</si>
  <si>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</si>
  <si>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</si>
  <si>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</si>
  <si>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</si>
  <si>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</si>
  <si>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</si>
  <si>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</si>
  <si>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</si>
  <si>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</si>
  <si>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</si>
  <si>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</si>
  <si>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</si>
  <si>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</si>
  <si>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</si>
  <si>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</si>
  <si>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</si>
  <si>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</si>
  <si>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</si>
  <si>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</si>
  <si>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</si>
  <si>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</si>
  <si>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</si>
  <si>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</si>
  <si>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</si>
  <si>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</si>
  <si>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</si>
  <si>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</si>
  <si>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</si>
  <si>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</si>
  <si>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</si>
  <si>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</si>
  <si>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</si>
  <si>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</si>
  <si>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</si>
  <si>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</si>
  <si>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</si>
  <si>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</si>
  <si>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</si>
  <si>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</si>
  <si>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</si>
  <si>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</si>
  <si>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</si>
  <si>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</si>
  <si>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</si>
  <si>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</si>
  <si>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</si>
  <si>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</si>
  <si>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</si>
  <si>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</si>
  <si>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</si>
  <si>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</si>
  <si>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</si>
  <si>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RESERVED FOR SPECIAL PURPOSES</t>
  </si>
  <si>
    <t xml:space="preserve">    OTHER</t>
  </si>
  <si>
    <t>ELEMENTARY EXPENDITURES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</si>
  <si>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</si>
  <si>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</si>
  <si>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</si>
  <si>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</si>
  <si>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</si>
  <si>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</si>
  <si>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</si>
  <si>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</si>
  <si>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</si>
  <si>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</si>
  <si>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</si>
  <si>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</si>
  <si>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</si>
  <si>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</si>
  <si>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</si>
  <si>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</si>
  <si>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</si>
  <si>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</si>
  <si>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</si>
  <si>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</si>
  <si>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</si>
  <si>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</si>
  <si>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</si>
  <si>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 xml:space="preserve">  3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</si>
  <si>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</si>
  <si>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</si>
  <si>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</si>
  <si>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</si>
  <si>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</si>
  <si>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</si>
  <si>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</si>
  <si>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</si>
  <si>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</si>
  <si>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</si>
  <si>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</si>
  <si>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</si>
  <si>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</si>
  <si>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</si>
  <si>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</si>
  <si>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</si>
  <si>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</si>
  <si>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</si>
  <si>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</si>
  <si>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</si>
  <si>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</si>
  <si>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</si>
  <si>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</si>
  <si>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</si>
  <si>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Date of Issue (mm/yy)</t>
  </si>
  <si>
    <t xml:space="preserve">  Date of Final Payment(mm/yy)</t>
  </si>
  <si>
    <t xml:space="preserve">  Original Debt Amount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</si>
  <si>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</si>
  <si>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</si>
  <si>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</si>
  <si>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</si>
  <si>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</si>
  <si>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</si>
  <si>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</si>
  <si>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</si>
  <si>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</si>
  <si>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</si>
  <si>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</si>
  <si>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</si>
  <si>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</si>
  <si>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</si>
  <si>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Middle/Junior High</t>
  </si>
  <si>
    <t xml:space="preserve">  High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</si>
  <si>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</si>
  <si>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</si>
  <si>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</si>
  <si>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</si>
  <si>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</si>
  <si>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</si>
  <si>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</si>
  <si>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</si>
  <si>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</si>
  <si>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</si>
  <si>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</si>
  <si>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</si>
  <si>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</si>
  <si>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</si>
  <si>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</si>
  <si>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</si>
  <si>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</si>
  <si>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</si>
  <si>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</si>
  <si>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</si>
  <si>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</si>
  <si>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>(10/11/6+14/11/6)</t>
  </si>
  <si>
    <t>10/12/6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</si>
  <si>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</si>
  <si>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</si>
  <si>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</si>
  <si>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</si>
  <si>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</si>
  <si>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</si>
  <si>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</si>
  <si>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</si>
  <si>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</si>
  <si>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</si>
  <si>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</si>
  <si>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</si>
  <si>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</si>
  <si>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</si>
  <si>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</si>
  <si>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</si>
  <si>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</si>
  <si>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Special Program Tuition to LEAs outside NH</t>
  </si>
  <si>
    <t xml:space="preserve">  Special Program Tuition to Private and Other Schools 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</si>
  <si>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</si>
  <si>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</si>
  <si>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</si>
  <si>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</si>
  <si>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</si>
  <si>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Vocational Program Tuition to LEAs within NH</t>
  </si>
  <si>
    <t xml:space="preserve">  INVESTMENTS</t>
  </si>
  <si>
    <t xml:space="preserve">  ASSESSMENTS RECEIVABLE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</si>
  <si>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</si>
  <si>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</si>
  <si>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</si>
  <si>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</si>
  <si>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</si>
  <si>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</si>
  <si>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</si>
  <si>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</si>
  <si>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</si>
  <si>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</si>
  <si>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</si>
  <si>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</si>
  <si>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</si>
  <si>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</si>
  <si>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</si>
  <si>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</si>
  <si>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</si>
  <si>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</si>
  <si>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</si>
  <si>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</si>
  <si>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</si>
  <si>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</si>
  <si>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>Regular Education</t>
  </si>
  <si>
    <t>DETAILED EXP DATA FOR SPECIAL EDUCATION (Data for Culturally Deprived, Bilingual and Gifted/Talented) (All Funds)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</si>
  <si>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</si>
  <si>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</si>
  <si>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</si>
  <si>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</si>
  <si>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</si>
  <si>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</si>
  <si>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</si>
  <si>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</si>
  <si>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</si>
  <si>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</si>
  <si>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</si>
  <si>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</si>
  <si>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</si>
  <si>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>Total District Wide Expenditures</t>
  </si>
  <si>
    <t xml:space="preserve">  VOCATIONAL EDUCATION (TRANSPORTATION)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</si>
  <si>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</si>
  <si>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</si>
  <si>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</si>
  <si>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</si>
  <si>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</si>
  <si>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</si>
  <si>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</si>
  <si>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</si>
  <si>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</si>
  <si>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</si>
  <si>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</si>
  <si>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</si>
  <si>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</si>
  <si>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</si>
  <si>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</si>
  <si>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</si>
  <si>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>23. Total Revenue from State Sources Lines 13, and 20-22</t>
  </si>
  <si>
    <t>24. Unrestricted Grants-In-Aid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</si>
  <si>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</si>
  <si>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</si>
  <si>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</si>
  <si>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</si>
  <si>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Interest Rate</t>
  </si>
  <si>
    <t xml:space="preserve">  Principal at Beginning of Year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</si>
  <si>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</si>
  <si>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</si>
  <si>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</si>
  <si>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</si>
  <si>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</si>
  <si>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</si>
  <si>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</si>
  <si>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</si>
  <si>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</si>
  <si>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</si>
  <si>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</si>
  <si>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</si>
  <si>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</si>
  <si>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</si>
  <si>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</si>
  <si>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Regular To and From Transportation</t>
  </si>
  <si>
    <t xml:space="preserve">  Special Program Residential Costs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</si>
  <si>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</si>
  <si>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</si>
  <si>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</si>
  <si>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</si>
  <si>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</si>
  <si>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</si>
  <si>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</si>
  <si>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</si>
  <si>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</si>
  <si>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</si>
  <si>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</si>
  <si>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</si>
  <si>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</si>
  <si>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</si>
  <si>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</si>
  <si>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</si>
  <si>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</si>
  <si>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FROM NONEXPENDABLE TRUST FUNDS</t>
  </si>
  <si>
    <t xml:space="preserve"> Instruction</t>
  </si>
  <si>
    <t>Account Code - 1300</t>
  </si>
  <si>
    <t>Account Code - 1400</t>
  </si>
  <si>
    <t>Schedule of Expenditures for Computation of Indirect Cost</t>
  </si>
  <si>
    <t>Expenditures</t>
  </si>
  <si>
    <t>Direct/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</si>
  <si>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</si>
  <si>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</si>
  <si>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</si>
  <si>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</si>
  <si>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</si>
  <si>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</si>
  <si>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</si>
  <si>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</si>
  <si>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</si>
  <si>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</si>
  <si>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</si>
  <si>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</si>
  <si>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</si>
  <si>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</si>
  <si>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</si>
  <si>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</si>
  <si>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>Community/Jr. College Programs</t>
  </si>
  <si>
    <t>Community Service Programs</t>
  </si>
  <si>
    <t>5110-5120</t>
  </si>
  <si>
    <t>Principal &amp; Interest</t>
  </si>
  <si>
    <t xml:space="preserve">  Regular Program Tuition to Private and Other Schools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</si>
  <si>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</si>
  <si>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</si>
  <si>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</si>
  <si>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 xml:space="preserve">  Vocational Program Tuition to LEAs outside NH</t>
  </si>
  <si>
    <t xml:space="preserve">  Vocational Program Tuition to Private &amp; Other Schools</t>
  </si>
  <si>
    <t>Acct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</si>
  <si>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</si>
  <si>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</si>
  <si>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</si>
  <si>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</si>
  <si>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</si>
  <si>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</si>
  <si>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</si>
  <si>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</si>
  <si>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</si>
  <si>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</si>
  <si>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</si>
  <si>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</si>
  <si>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</si>
  <si>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</si>
  <si>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</si>
  <si>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</si>
  <si>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</si>
  <si>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</si>
  <si>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</si>
  <si>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</si>
  <si>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</si>
  <si>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</si>
  <si>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</si>
  <si>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</si>
  <si>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</si>
  <si>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</si>
  <si>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</si>
  <si>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</si>
  <si>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</si>
  <si>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</si>
  <si>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</si>
  <si>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 xml:space="preserve">  VOCATIONAL EDUCATION (TUITION)</t>
  </si>
  <si>
    <t>Facility Construction</t>
  </si>
  <si>
    <t>Total Expenditures</t>
  </si>
  <si>
    <t>Bonds &amp; Notes Principal Repayment</t>
  </si>
  <si>
    <t>Local Property Tax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</si>
  <si>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</si>
  <si>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</si>
  <si>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</si>
  <si>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</si>
  <si>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</si>
  <si>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</si>
  <si>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</si>
  <si>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</si>
  <si>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</si>
  <si>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</si>
  <si>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</si>
  <si>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 xml:space="preserve">  special revenue funds on the DOE-25 worksheet.</t>
  </si>
  <si>
    <t>See Instructions on Row 48</t>
  </si>
  <si>
    <t>25. Restricted Grants-in-Aid Direct from Fed Gov't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</si>
  <si>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</si>
  <si>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</si>
  <si>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</si>
  <si>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>26. Restricted Grants-in-Aid  from Fed Gov't thru State</t>
  </si>
  <si>
    <t>27. Other Revenue for /on Behalf of LEA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</si>
  <si>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</si>
  <si>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</si>
  <si>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</si>
  <si>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</si>
  <si>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</si>
  <si>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</si>
  <si>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</si>
  <si>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</si>
  <si>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</si>
  <si>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</si>
  <si>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>TOTAL FUND EQUITY, JULY 1, 2011</t>
  </si>
  <si>
    <t xml:space="preserve">Total Fund Equity June 30, 2012**** 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</si>
  <si>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</si>
  <si>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</si>
  <si>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</si>
  <si>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</si>
  <si>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</si>
  <si>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</si>
  <si>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</si>
  <si>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</si>
  <si>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</si>
  <si>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</si>
  <si>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</si>
  <si>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</si>
  <si>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</si>
  <si>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Co curricular Trips/Field Trips</t>
  </si>
  <si>
    <t>F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</si>
  <si>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</si>
  <si>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</si>
  <si>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</si>
  <si>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</si>
  <si>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</si>
  <si>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</si>
  <si>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</si>
  <si>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</si>
  <si>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</si>
  <si>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</si>
  <si>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</si>
  <si>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</si>
  <si>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</si>
  <si>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</si>
  <si>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</si>
  <si>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</si>
  <si>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</si>
  <si>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</si>
  <si>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</si>
  <si>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</si>
  <si>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</si>
  <si>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</si>
  <si>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</si>
  <si>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>Object 800-900</t>
  </si>
  <si>
    <t>3.5 - 5.0</t>
    <phoneticPr fontId="0" type="noConversion"/>
  </si>
  <si>
    <t xml:space="preserve">   RESERVED FOR ENCUMBRANCES </t>
  </si>
  <si>
    <t xml:space="preserve">  RESTRICTED FOR FOOD SERVICE</t>
  </si>
  <si>
    <t>27. RESTRICTED FOR FOOD SERVICE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</si>
  <si>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</si>
  <si>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</si>
  <si>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</si>
  <si>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</si>
  <si>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</si>
  <si>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t>For the Fiscal Year Ending on June 30, 2012</t>
  </si>
  <si>
    <t>For Fiscal Year Ending June 30, 2012</t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</si>
  <si>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</si>
  <si>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</si>
  <si>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</si>
  <si>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</si>
  <si>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</si>
  <si>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</si>
  <si>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</si>
  <si>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t>HOPKINTON SCHOOL DISTRICT</t>
    <phoneticPr fontId="0" type="noConversion"/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</si>
  <si>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</si>
  <si>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>Special Programs</t>
  </si>
  <si>
    <t>Vocational Programs</t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</si>
  <si>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</si>
  <si>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</si>
  <si>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</si>
  <si>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2300&amp;2800</t>
  </si>
  <si>
    <t>29. RESERVE FOR CONTINUING APPROPRIATIONS</t>
  </si>
  <si>
    <t xml:space="preserve">30. RESERVE FOR AMTS VOTED </t>
  </si>
  <si>
    <t>31. RESERVE FOR ENCUMBRANCES (non-lapsing)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</si>
  <si>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</si>
  <si>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</si>
  <si>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</si>
  <si>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</si>
  <si>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</si>
  <si>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</si>
  <si>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</si>
  <si>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</si>
  <si>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</si>
  <si>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</si>
  <si>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t>Account Code - 1200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</si>
  <si>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</si>
  <si>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</si>
  <si>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</si>
  <si>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</si>
  <si>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</si>
  <si>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</si>
  <si>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</si>
  <si>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>Operation and Maintenance of Plant</t>
  </si>
  <si>
    <t>Facilities Acquisition And Construction</t>
  </si>
  <si>
    <t>Support Services - Instructional Staff</t>
  </si>
  <si>
    <t>Capital Outlay/Property</t>
  </si>
  <si>
    <t>40. Total Revenue &amp; Other Financing Sources (Lines 8,23,29,39)</t>
  </si>
  <si>
    <t>9. Adequacy Education Grant</t>
  </si>
  <si>
    <t>11. Adequacy Education Grant - EDJOBS</t>
  </si>
  <si>
    <t>3111&amp;3112&amp;3119</t>
  </si>
  <si>
    <t>DOE 25  2011-2012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</si>
  <si>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</si>
  <si>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</si>
  <si>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</si>
  <si>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</si>
  <si>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</si>
  <si>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</si>
  <si>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</si>
  <si>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</si>
  <si>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</si>
  <si>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</si>
  <si>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</si>
  <si>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</si>
  <si>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</si>
  <si>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</si>
  <si>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</si>
  <si>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</si>
  <si>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</si>
  <si>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1. Teachers</t>
  </si>
  <si>
    <t xml:space="preserve">   2. Aides/Paras</t>
  </si>
  <si>
    <t xml:space="preserve">   3. Other</t>
  </si>
  <si>
    <t>Regular Programs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</si>
  <si>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</si>
  <si>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</si>
  <si>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</si>
  <si>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</si>
  <si>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</si>
  <si>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</si>
  <si>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</si>
  <si>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</si>
  <si>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</si>
  <si>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</si>
  <si>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</si>
  <si>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</si>
  <si>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</si>
  <si>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</si>
  <si>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</si>
  <si>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5/07</t>
    <phoneticPr fontId="0" type="noConversion"/>
  </si>
  <si>
    <t>8/17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</si>
</sst>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469</v>
      </c>
      <c r="B1" s="2" t="s">
        <v>470</v>
      </c>
      <c r="C1" s="2" t="s">
        <v>471</v>
      </c>
      <c r="D1" s="2"/>
      <c r="E1" s="2"/>
      <c r="F1" s="13"/>
      <c r="G1" s="13"/>
      <c r="H1" s="15" t="s">
        <v>876</v>
      </c>
      <c r="I1" s="13"/>
      <c r="J1" s="13"/>
      <c r="K1" s="13"/>
      <c r="L1" s="13"/>
    </row>
    <row r="2" spans="1:13" s="3" customFormat="1" ht="12" customHeight="1" x14ac:dyDescent="0.2">
      <c r="A2" s="176" t="s">
        <v>839</v>
      </c>
      <c r="B2" s="21">
        <v>263</v>
      </c>
      <c r="C2" s="21">
        <v>263</v>
      </c>
      <c r="D2" s="21"/>
      <c r="E2" s="6" t="s">
        <v>714</v>
      </c>
      <c r="F2" s="15" t="s">
        <v>472</v>
      </c>
      <c r="G2" s="15" t="s">
        <v>473</v>
      </c>
      <c r="H2" s="15" t="s">
        <v>474</v>
      </c>
      <c r="I2" s="15" t="s">
        <v>475</v>
      </c>
      <c r="J2" s="15" t="s">
        <v>476</v>
      </c>
      <c r="K2" s="15" t="s">
        <v>477</v>
      </c>
      <c r="L2" s="15" t="s">
        <v>593</v>
      </c>
    </row>
    <row r="3" spans="1:13" s="3" customFormat="1" ht="12" customHeight="1" x14ac:dyDescent="0.15">
      <c r="A3" s="5" t="s">
        <v>478</v>
      </c>
      <c r="B3" s="6" t="s">
        <v>479</v>
      </c>
      <c r="C3" s="6" t="s">
        <v>311</v>
      </c>
      <c r="D3" s="6"/>
      <c r="E3" s="23" t="s">
        <v>421</v>
      </c>
    </row>
    <row r="4" spans="1:13" s="3" customFormat="1" ht="12" customHeight="1" x14ac:dyDescent="0.15">
      <c r="A4" s="1" t="s">
        <v>317</v>
      </c>
      <c r="K4" s="13"/>
      <c r="L4" s="13"/>
    </row>
    <row r="5" spans="1:13" s="3" customFormat="1" ht="12" customHeight="1" x14ac:dyDescent="0.15">
      <c r="A5" s="1" t="s">
        <v>318</v>
      </c>
      <c r="F5" s="23" t="s">
        <v>312</v>
      </c>
      <c r="G5" s="23" t="s">
        <v>313</v>
      </c>
      <c r="H5" s="23" t="s">
        <v>314</v>
      </c>
      <c r="I5" s="23" t="s">
        <v>315</v>
      </c>
      <c r="J5" s="23" t="s">
        <v>316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319</v>
      </c>
      <c r="G6" s="226" t="s">
        <v>320</v>
      </c>
      <c r="H6" s="226" t="s">
        <v>321</v>
      </c>
      <c r="I6" s="226" t="s">
        <v>322</v>
      </c>
      <c r="J6" s="226" t="s">
        <v>323</v>
      </c>
      <c r="K6" s="13"/>
      <c r="L6" s="13"/>
      <c r="M6" s="8"/>
    </row>
    <row r="7" spans="1:13" s="3" customFormat="1" ht="12" customHeight="1" x14ac:dyDescent="0.15">
      <c r="A7" s="1" t="s">
        <v>324</v>
      </c>
      <c r="B7" s="7"/>
      <c r="C7" s="7"/>
      <c r="D7" s="7"/>
      <c r="E7" s="7"/>
      <c r="F7" s="226"/>
      <c r="G7" s="227"/>
      <c r="H7" s="226" t="s">
        <v>788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422</v>
      </c>
      <c r="B8" s="7"/>
      <c r="C8" s="7"/>
      <c r="D8" s="7"/>
      <c r="E8" s="7"/>
      <c r="F8" s="24" t="s">
        <v>327</v>
      </c>
      <c r="G8" s="24" t="s">
        <v>327</v>
      </c>
      <c r="H8" s="24" t="s">
        <v>327</v>
      </c>
      <c r="I8" s="24" t="s">
        <v>327</v>
      </c>
      <c r="J8" s="24" t="s">
        <v>327</v>
      </c>
      <c r="K8" s="24" t="s">
        <v>327</v>
      </c>
      <c r="L8" s="24" t="s">
        <v>327</v>
      </c>
      <c r="M8" s="8"/>
    </row>
    <row r="9" spans="1:13" s="3" customFormat="1" ht="12" customHeight="1" x14ac:dyDescent="0.15">
      <c r="A9" s="1" t="s">
        <v>447</v>
      </c>
      <c r="B9" s="2" t="s">
        <v>328</v>
      </c>
      <c r="C9" s="6">
        <v>1</v>
      </c>
      <c r="D9" s="2" t="s">
        <v>279</v>
      </c>
      <c r="E9" s="6">
        <v>100</v>
      </c>
      <c r="F9" s="18">
        <v>500508</v>
      </c>
      <c r="G9" s="18">
        <v>100</v>
      </c>
      <c r="H9" s="18"/>
      <c r="I9" s="18">
        <v>0</v>
      </c>
      <c r="J9" s="67">
        <f>SUM(I438)</f>
        <v>437930</v>
      </c>
      <c r="K9" s="24" t="s">
        <v>327</v>
      </c>
      <c r="L9" s="24" t="s">
        <v>327</v>
      </c>
      <c r="M9" s="8"/>
    </row>
    <row r="10" spans="1:13" s="3" customFormat="1" ht="12" customHeight="1" x14ac:dyDescent="0.15">
      <c r="A10" s="1" t="s">
        <v>582</v>
      </c>
      <c r="B10" s="2" t="s">
        <v>328</v>
      </c>
      <c r="C10" s="6">
        <v>2</v>
      </c>
      <c r="D10" s="2" t="s">
        <v>279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327</v>
      </c>
      <c r="L10" s="24" t="s">
        <v>327</v>
      </c>
      <c r="M10" s="8"/>
    </row>
    <row r="11" spans="1:13" s="3" customFormat="1" ht="12" customHeight="1" x14ac:dyDescent="0.15">
      <c r="A11" s="1" t="s">
        <v>583</v>
      </c>
      <c r="B11" s="2" t="s">
        <v>328</v>
      </c>
      <c r="C11" s="6">
        <v>3</v>
      </c>
      <c r="D11" s="2" t="s">
        <v>279</v>
      </c>
      <c r="E11" s="6">
        <v>120</v>
      </c>
      <c r="F11" s="18"/>
      <c r="G11" s="24" t="s">
        <v>327</v>
      </c>
      <c r="H11" s="24" t="s">
        <v>327</v>
      </c>
      <c r="I11" s="24" t="s">
        <v>327</v>
      </c>
      <c r="J11" s="24" t="s">
        <v>327</v>
      </c>
      <c r="K11" s="24" t="s">
        <v>327</v>
      </c>
      <c r="L11" s="24" t="s">
        <v>327</v>
      </c>
      <c r="M11" s="8"/>
    </row>
    <row r="12" spans="1:13" s="3" customFormat="1" ht="12" customHeight="1" x14ac:dyDescent="0.15">
      <c r="A12" s="1" t="s">
        <v>448</v>
      </c>
      <c r="B12" s="2" t="s">
        <v>328</v>
      </c>
      <c r="C12" s="6">
        <v>4</v>
      </c>
      <c r="D12" s="2" t="s">
        <v>279</v>
      </c>
      <c r="E12" s="6">
        <v>130</v>
      </c>
      <c r="F12" s="18">
        <v>63135</v>
      </c>
      <c r="G12" s="18">
        <v>5276</v>
      </c>
      <c r="H12" s="18">
        <v>36202</v>
      </c>
      <c r="I12" s="18"/>
      <c r="J12" s="67">
        <f>SUM(I440)</f>
        <v>0</v>
      </c>
      <c r="K12" s="24" t="s">
        <v>327</v>
      </c>
      <c r="L12" s="24" t="s">
        <v>327</v>
      </c>
      <c r="M12" s="8"/>
    </row>
    <row r="13" spans="1:13" s="3" customFormat="1" ht="12" customHeight="1" x14ac:dyDescent="0.15">
      <c r="A13" s="1" t="s">
        <v>636</v>
      </c>
      <c r="B13" s="2" t="s">
        <v>328</v>
      </c>
      <c r="C13" s="6">
        <v>5</v>
      </c>
      <c r="D13" s="2" t="s">
        <v>279</v>
      </c>
      <c r="E13" s="6">
        <v>140</v>
      </c>
      <c r="F13" s="18">
        <v>22262</v>
      </c>
      <c r="G13" s="18">
        <v>3646</v>
      </c>
      <c r="H13" s="18">
        <v>64534</v>
      </c>
      <c r="I13" s="18"/>
      <c r="J13" s="67">
        <f>SUM(I441)</f>
        <v>0</v>
      </c>
      <c r="K13" s="24" t="s">
        <v>327</v>
      </c>
      <c r="L13" s="24" t="s">
        <v>327</v>
      </c>
      <c r="M13" s="8"/>
    </row>
    <row r="14" spans="1:13" s="3" customFormat="1" ht="12" customHeight="1" x14ac:dyDescent="0.15">
      <c r="A14" s="1" t="s">
        <v>449</v>
      </c>
      <c r="B14" s="2" t="s">
        <v>328</v>
      </c>
      <c r="C14" s="6">
        <v>6</v>
      </c>
      <c r="D14" s="2" t="s">
        <v>279</v>
      </c>
      <c r="E14" s="6">
        <v>150</v>
      </c>
      <c r="F14" s="18">
        <v>14404</v>
      </c>
      <c r="G14" s="18">
        <v>327</v>
      </c>
      <c r="H14" s="18">
        <v>2557</v>
      </c>
      <c r="I14" s="18"/>
      <c r="J14" s="67">
        <f>SUM(I442)</f>
        <v>0</v>
      </c>
      <c r="K14" s="24" t="s">
        <v>327</v>
      </c>
      <c r="L14" s="24" t="s">
        <v>327</v>
      </c>
      <c r="M14" s="8"/>
    </row>
    <row r="15" spans="1:13" s="3" customFormat="1" ht="12" customHeight="1" x14ac:dyDescent="0.15">
      <c r="A15" s="1" t="s">
        <v>614</v>
      </c>
      <c r="B15" s="2" t="s">
        <v>328</v>
      </c>
      <c r="C15" s="6">
        <v>7</v>
      </c>
      <c r="D15" s="2" t="s">
        <v>279</v>
      </c>
      <c r="E15" s="6">
        <v>160</v>
      </c>
      <c r="F15" s="24" t="s">
        <v>327</v>
      </c>
      <c r="G15" s="24" t="s">
        <v>327</v>
      </c>
      <c r="H15" s="24" t="s">
        <v>327</v>
      </c>
      <c r="I15" s="18"/>
      <c r="J15" s="24" t="s">
        <v>327</v>
      </c>
      <c r="K15" s="24" t="s">
        <v>327</v>
      </c>
      <c r="L15" s="24" t="s">
        <v>327</v>
      </c>
      <c r="M15" s="8"/>
    </row>
    <row r="16" spans="1:13" s="3" customFormat="1" ht="12" customHeight="1" x14ac:dyDescent="0.15">
      <c r="A16" s="1" t="s">
        <v>450</v>
      </c>
      <c r="B16" s="2" t="s">
        <v>328</v>
      </c>
      <c r="C16" s="6">
        <v>8</v>
      </c>
      <c r="D16" s="2" t="s">
        <v>279</v>
      </c>
      <c r="E16" s="6">
        <v>170</v>
      </c>
      <c r="F16" s="18"/>
      <c r="G16" s="18"/>
      <c r="H16" s="18"/>
      <c r="I16" s="18"/>
      <c r="J16" s="24" t="s">
        <v>327</v>
      </c>
      <c r="K16" s="24" t="s">
        <v>327</v>
      </c>
      <c r="L16" s="24" t="s">
        <v>327</v>
      </c>
      <c r="M16" s="8"/>
    </row>
    <row r="17" spans="1:13" s="3" customFormat="1" ht="12" customHeight="1" x14ac:dyDescent="0.15">
      <c r="A17" s="1" t="s">
        <v>451</v>
      </c>
      <c r="B17" s="2" t="s">
        <v>328</v>
      </c>
      <c r="C17" s="6">
        <v>9</v>
      </c>
      <c r="D17" s="2" t="s">
        <v>279</v>
      </c>
      <c r="E17" s="6">
        <v>180</v>
      </c>
      <c r="F17" s="18">
        <v>27506</v>
      </c>
      <c r="G17" s="18"/>
      <c r="H17" s="18"/>
      <c r="I17" s="18"/>
      <c r="J17" s="67">
        <f>SUM(I443)</f>
        <v>0</v>
      </c>
      <c r="K17" s="24" t="s">
        <v>327</v>
      </c>
      <c r="L17" s="24" t="s">
        <v>327</v>
      </c>
      <c r="M17" s="8"/>
    </row>
    <row r="18" spans="1:13" s="3" customFormat="1" ht="12" customHeight="1" thickBot="1" x14ac:dyDescent="0.2">
      <c r="A18" s="1" t="s">
        <v>452</v>
      </c>
      <c r="B18" s="2" t="s">
        <v>328</v>
      </c>
      <c r="C18" s="6">
        <v>10</v>
      </c>
      <c r="D18" s="2" t="s">
        <v>279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327</v>
      </c>
      <c r="L18" s="24" t="s">
        <v>327</v>
      </c>
      <c r="M18" s="8"/>
    </row>
    <row r="19" spans="1:13" s="3" customFormat="1" ht="12" customHeight="1" thickTop="1" x14ac:dyDescent="0.15">
      <c r="A19" s="38" t="s">
        <v>423</v>
      </c>
      <c r="B19" s="39" t="s">
        <v>328</v>
      </c>
      <c r="C19" s="40">
        <v>11</v>
      </c>
      <c r="D19" s="39" t="s">
        <v>279</v>
      </c>
      <c r="E19" s="39"/>
      <c r="F19" s="41">
        <f>SUM(F9:F18)</f>
        <v>627815</v>
      </c>
      <c r="G19" s="41">
        <f>SUM(G9:G18)</f>
        <v>9349</v>
      </c>
      <c r="H19" s="41">
        <f>SUM(H9:H18)</f>
        <v>103293</v>
      </c>
      <c r="I19" s="41">
        <f>SUM(I9:I18)</f>
        <v>0</v>
      </c>
      <c r="J19" s="41">
        <f>SUM(J9:J18)</f>
        <v>437930</v>
      </c>
      <c r="K19" s="45" t="s">
        <v>327</v>
      </c>
      <c r="L19" s="45" t="s">
        <v>327</v>
      </c>
      <c r="M19" s="8"/>
    </row>
    <row r="20" spans="1:13" s="3" customFormat="1" ht="12" customHeight="1" x14ac:dyDescent="0.15">
      <c r="A20" s="1" t="s">
        <v>610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257</v>
      </c>
      <c r="B21" s="7"/>
      <c r="C21" s="2"/>
      <c r="D21" s="7"/>
      <c r="E21" s="7"/>
      <c r="F21" s="24" t="s">
        <v>327</v>
      </c>
      <c r="G21" s="24" t="s">
        <v>327</v>
      </c>
      <c r="H21" s="24" t="s">
        <v>327</v>
      </c>
      <c r="I21" s="24" t="s">
        <v>327</v>
      </c>
      <c r="J21" s="24" t="s">
        <v>327</v>
      </c>
      <c r="K21" s="24" t="s">
        <v>327</v>
      </c>
      <c r="L21" s="24" t="s">
        <v>327</v>
      </c>
      <c r="M21" s="8"/>
    </row>
    <row r="22" spans="1:13" s="3" customFormat="1" ht="12" customHeight="1" x14ac:dyDescent="0.15">
      <c r="A22" s="1" t="s">
        <v>453</v>
      </c>
      <c r="B22" s="2" t="s">
        <v>328</v>
      </c>
      <c r="C22" s="6">
        <v>12</v>
      </c>
      <c r="D22" s="2" t="s">
        <v>280</v>
      </c>
      <c r="E22" s="6">
        <v>400</v>
      </c>
      <c r="F22" s="18">
        <v>41478</v>
      </c>
      <c r="G22" s="18"/>
      <c r="H22" s="18">
        <v>63135</v>
      </c>
      <c r="I22" s="18"/>
      <c r="J22" s="67">
        <f>SUM(I447)</f>
        <v>0</v>
      </c>
      <c r="K22" s="24" t="s">
        <v>327</v>
      </c>
      <c r="L22" s="24" t="s">
        <v>327</v>
      </c>
      <c r="M22" s="8"/>
    </row>
    <row r="23" spans="1:13" s="3" customFormat="1" ht="12" customHeight="1" x14ac:dyDescent="0.15">
      <c r="A23" s="1" t="s">
        <v>507</v>
      </c>
      <c r="B23" s="2" t="s">
        <v>328</v>
      </c>
      <c r="C23" s="6">
        <v>13</v>
      </c>
      <c r="D23" s="2" t="s">
        <v>280</v>
      </c>
      <c r="E23" s="6">
        <v>410</v>
      </c>
      <c r="F23" s="18">
        <v>1</v>
      </c>
      <c r="G23" s="18"/>
      <c r="H23" s="18"/>
      <c r="I23" s="18"/>
      <c r="J23" s="67">
        <f>SUM(I448)</f>
        <v>0</v>
      </c>
      <c r="K23" s="24" t="s">
        <v>327</v>
      </c>
      <c r="L23" s="24" t="s">
        <v>327</v>
      </c>
      <c r="M23" s="8"/>
    </row>
    <row r="24" spans="1:13" s="3" customFormat="1" ht="12" customHeight="1" x14ac:dyDescent="0.15">
      <c r="A24" s="1" t="s">
        <v>454</v>
      </c>
      <c r="B24" s="2" t="s">
        <v>328</v>
      </c>
      <c r="C24" s="6">
        <v>14</v>
      </c>
      <c r="D24" s="2" t="s">
        <v>280</v>
      </c>
      <c r="E24" s="6">
        <v>420</v>
      </c>
      <c r="F24" s="18">
        <v>90713</v>
      </c>
      <c r="G24" s="18"/>
      <c r="H24" s="18">
        <f>314+501</f>
        <v>815</v>
      </c>
      <c r="I24" s="18"/>
      <c r="J24" s="67">
        <f>SUM(I449)</f>
        <v>0</v>
      </c>
      <c r="K24" s="24" t="s">
        <v>327</v>
      </c>
      <c r="L24" s="24" t="s">
        <v>327</v>
      </c>
      <c r="M24" s="8"/>
    </row>
    <row r="25" spans="1:13" s="3" customFormat="1" ht="12" customHeight="1" x14ac:dyDescent="0.15">
      <c r="A25" s="1" t="s">
        <v>601</v>
      </c>
      <c r="B25" s="2" t="s">
        <v>328</v>
      </c>
      <c r="C25" s="6">
        <v>15</v>
      </c>
      <c r="D25" s="2" t="s">
        <v>280</v>
      </c>
      <c r="E25" s="6">
        <v>430</v>
      </c>
      <c r="F25" s="18" t="s">
        <v>58</v>
      </c>
      <c r="G25" s="10">
        <v>2211</v>
      </c>
      <c r="H25" s="18" t="s">
        <v>58</v>
      </c>
      <c r="I25" s="18"/>
      <c r="J25" s="24" t="s">
        <v>327</v>
      </c>
      <c r="K25" s="24" t="s">
        <v>327</v>
      </c>
      <c r="L25" s="24" t="s">
        <v>327</v>
      </c>
      <c r="M25" s="8"/>
    </row>
    <row r="26" spans="1:13" s="3" customFormat="1" ht="12" customHeight="1" x14ac:dyDescent="0.15">
      <c r="A26" s="1" t="s">
        <v>455</v>
      </c>
      <c r="B26" s="2" t="s">
        <v>328</v>
      </c>
      <c r="C26" s="6">
        <v>16</v>
      </c>
      <c r="D26" s="2" t="s">
        <v>280</v>
      </c>
      <c r="E26" s="6">
        <v>440</v>
      </c>
      <c r="F26" s="18"/>
      <c r="G26" s="24" t="s">
        <v>327</v>
      </c>
      <c r="H26" s="24" t="s">
        <v>327</v>
      </c>
      <c r="I26" s="18"/>
      <c r="J26" s="24" t="s">
        <v>327</v>
      </c>
      <c r="K26" s="24" t="s">
        <v>327</v>
      </c>
      <c r="L26" s="24" t="s">
        <v>327</v>
      </c>
      <c r="M26" s="8"/>
    </row>
    <row r="27" spans="1:13" s="3" customFormat="1" ht="12" customHeight="1" x14ac:dyDescent="0.15">
      <c r="A27" s="1" t="s">
        <v>599</v>
      </c>
      <c r="B27" s="2" t="s">
        <v>328</v>
      </c>
      <c r="C27" s="6">
        <v>17</v>
      </c>
      <c r="D27" s="2" t="s">
        <v>280</v>
      </c>
      <c r="E27" s="6">
        <v>450</v>
      </c>
      <c r="F27" s="18"/>
      <c r="G27" s="24" t="s">
        <v>327</v>
      </c>
      <c r="H27" s="24" t="s">
        <v>327</v>
      </c>
      <c r="I27" s="18"/>
      <c r="J27" s="24" t="s">
        <v>327</v>
      </c>
      <c r="K27" s="24" t="s">
        <v>327</v>
      </c>
      <c r="L27" s="24" t="s">
        <v>327</v>
      </c>
      <c r="M27" s="8"/>
    </row>
    <row r="28" spans="1:13" s="3" customFormat="1" ht="12" customHeight="1" x14ac:dyDescent="0.15">
      <c r="A28" s="1" t="s">
        <v>600</v>
      </c>
      <c r="B28" s="2" t="s">
        <v>328</v>
      </c>
      <c r="C28" s="6">
        <v>18</v>
      </c>
      <c r="D28" s="2" t="s">
        <v>280</v>
      </c>
      <c r="E28" s="6">
        <v>460</v>
      </c>
      <c r="F28" s="18">
        <f>90611-1</f>
        <v>90610</v>
      </c>
      <c r="G28" s="18"/>
      <c r="H28" s="18">
        <v>1085</v>
      </c>
      <c r="I28" s="18"/>
      <c r="J28" s="24" t="s">
        <v>327</v>
      </c>
      <c r="K28" s="24" t="s">
        <v>327</v>
      </c>
      <c r="L28" s="24" t="s">
        <v>327</v>
      </c>
      <c r="M28" s="8"/>
    </row>
    <row r="29" spans="1:13" s="3" customFormat="1" ht="12" customHeight="1" x14ac:dyDescent="0.15">
      <c r="A29" s="1" t="s">
        <v>602</v>
      </c>
      <c r="B29" s="2" t="s">
        <v>328</v>
      </c>
      <c r="C29" s="6">
        <v>19</v>
      </c>
      <c r="D29" s="2" t="s">
        <v>280</v>
      </c>
      <c r="E29" s="6">
        <v>470</v>
      </c>
      <c r="F29" s="18" t="s">
        <v>58</v>
      </c>
      <c r="G29" s="18"/>
      <c r="H29" s="18"/>
      <c r="I29" s="18"/>
      <c r="J29" s="24" t="s">
        <v>327</v>
      </c>
      <c r="K29" s="24" t="s">
        <v>327</v>
      </c>
      <c r="L29" s="24" t="s">
        <v>327</v>
      </c>
      <c r="M29" s="8"/>
    </row>
    <row r="30" spans="1:13" s="3" customFormat="1" ht="12" customHeight="1" x14ac:dyDescent="0.15">
      <c r="A30" s="1" t="s">
        <v>603</v>
      </c>
      <c r="B30" s="2" t="s">
        <v>328</v>
      </c>
      <c r="C30" s="6">
        <v>20</v>
      </c>
      <c r="D30" s="2" t="s">
        <v>280</v>
      </c>
      <c r="E30" s="6">
        <v>480</v>
      </c>
      <c r="F30" s="18">
        <v>275</v>
      </c>
      <c r="G30" s="18">
        <v>7138</v>
      </c>
      <c r="H30" s="18">
        <v>38258</v>
      </c>
      <c r="I30" s="18"/>
      <c r="J30" s="24" t="s">
        <v>327</v>
      </c>
      <c r="K30" s="24" t="s">
        <v>327</v>
      </c>
      <c r="L30" s="24" t="s">
        <v>327</v>
      </c>
      <c r="M30" s="8"/>
    </row>
    <row r="31" spans="1:13" s="3" customFormat="1" ht="12" customHeight="1" thickBot="1" x14ac:dyDescent="0.2">
      <c r="A31" s="1" t="s">
        <v>613</v>
      </c>
      <c r="B31" s="2" t="s">
        <v>328</v>
      </c>
      <c r="C31" s="6">
        <v>21</v>
      </c>
      <c r="D31" s="2" t="s">
        <v>280</v>
      </c>
      <c r="E31" s="6">
        <v>490</v>
      </c>
      <c r="F31" s="18" t="s">
        <v>58</v>
      </c>
      <c r="G31" s="18"/>
      <c r="H31" s="18" t="s">
        <v>58</v>
      </c>
      <c r="I31" s="18"/>
      <c r="J31" s="67">
        <f>SUM(I450)</f>
        <v>0</v>
      </c>
      <c r="K31" s="24" t="s">
        <v>327</v>
      </c>
      <c r="L31" s="24" t="s">
        <v>327</v>
      </c>
      <c r="M31" s="8"/>
    </row>
    <row r="32" spans="1:13" s="3" customFormat="1" ht="12" customHeight="1" thickTop="1" x14ac:dyDescent="0.15">
      <c r="A32" s="38" t="s">
        <v>258</v>
      </c>
      <c r="B32" s="39" t="s">
        <v>328</v>
      </c>
      <c r="C32" s="40">
        <v>22</v>
      </c>
      <c r="D32" s="39" t="s">
        <v>280</v>
      </c>
      <c r="E32" s="39"/>
      <c r="F32" s="41">
        <f>SUM(F22:F31)</f>
        <v>223077</v>
      </c>
      <c r="G32" s="41">
        <f>SUM(G22:G31)</f>
        <v>9349</v>
      </c>
      <c r="H32" s="41">
        <f>SUM(H22:H31)</f>
        <v>103293</v>
      </c>
      <c r="I32" s="41">
        <f>SUM(I22:I31)</f>
        <v>0</v>
      </c>
      <c r="J32" s="41">
        <f>SUM(J22:J31)</f>
        <v>0</v>
      </c>
      <c r="K32" s="45" t="s">
        <v>327</v>
      </c>
      <c r="L32" s="45" t="s">
        <v>327</v>
      </c>
      <c r="M32" s="8"/>
    </row>
    <row r="33" spans="1:13" s="3" customFormat="1" ht="12" customHeight="1" x14ac:dyDescent="0.15">
      <c r="A33" s="29" t="s">
        <v>340</v>
      </c>
      <c r="B33" s="1" t="s">
        <v>337</v>
      </c>
      <c r="C33" s="2" t="s">
        <v>325</v>
      </c>
      <c r="D33" s="2"/>
      <c r="E33" s="2"/>
      <c r="F33" s="24" t="s">
        <v>327</v>
      </c>
      <c r="G33" s="24" t="s">
        <v>327</v>
      </c>
      <c r="H33" s="24" t="s">
        <v>327</v>
      </c>
      <c r="I33" s="24" t="s">
        <v>327</v>
      </c>
      <c r="J33" s="24" t="s">
        <v>327</v>
      </c>
      <c r="K33" s="24" t="s">
        <v>327</v>
      </c>
      <c r="L33" s="24" t="s">
        <v>327</v>
      </c>
      <c r="M33" s="8"/>
    </row>
    <row r="34" spans="1:13" s="3" customFormat="1" ht="12" customHeight="1" x14ac:dyDescent="0.15">
      <c r="A34" s="29" t="s">
        <v>906</v>
      </c>
      <c r="B34" s="1"/>
      <c r="C34" s="2"/>
      <c r="D34" s="2"/>
      <c r="E34" s="2"/>
      <c r="F34" s="24" t="s">
        <v>327</v>
      </c>
      <c r="G34" s="24" t="s">
        <v>327</v>
      </c>
      <c r="H34" s="24" t="s">
        <v>327</v>
      </c>
      <c r="I34" s="24" t="s">
        <v>327</v>
      </c>
      <c r="J34" s="24" t="s">
        <v>327</v>
      </c>
      <c r="K34" s="24" t="s">
        <v>327</v>
      </c>
      <c r="L34" s="24" t="s">
        <v>327</v>
      </c>
      <c r="M34" s="8"/>
    </row>
    <row r="35" spans="1:13" s="3" customFormat="1" ht="12" customHeight="1" x14ac:dyDescent="0.15">
      <c r="A35" s="1" t="s">
        <v>604</v>
      </c>
      <c r="B35" s="6">
        <v>1</v>
      </c>
      <c r="C35" s="6">
        <v>23</v>
      </c>
      <c r="D35" s="2" t="s">
        <v>796</v>
      </c>
      <c r="E35" s="6">
        <v>751</v>
      </c>
      <c r="F35" s="18"/>
      <c r="G35" s="18"/>
      <c r="H35" s="18"/>
      <c r="I35" s="18"/>
      <c r="J35" s="24" t="s">
        <v>327</v>
      </c>
      <c r="K35" s="24" t="s">
        <v>327</v>
      </c>
      <c r="L35" s="24" t="s">
        <v>327</v>
      </c>
      <c r="M35" s="8"/>
    </row>
    <row r="36" spans="1:13" s="3" customFormat="1" ht="12" customHeight="1" x14ac:dyDescent="0.15">
      <c r="A36" s="1" t="s">
        <v>605</v>
      </c>
      <c r="B36" s="6">
        <v>1</v>
      </c>
      <c r="C36" s="6">
        <v>24</v>
      </c>
      <c r="D36" s="2" t="s">
        <v>796</v>
      </c>
      <c r="E36" s="6">
        <v>752</v>
      </c>
      <c r="F36" s="18">
        <v>27506</v>
      </c>
      <c r="G36" s="18"/>
      <c r="H36" s="18"/>
      <c r="I36" s="18"/>
      <c r="J36" s="24" t="s">
        <v>327</v>
      </c>
      <c r="K36" s="24" t="s">
        <v>327</v>
      </c>
      <c r="L36" s="24" t="s">
        <v>327</v>
      </c>
      <c r="M36" s="8"/>
    </row>
    <row r="37" spans="1:13" s="3" customFormat="1" ht="12" customHeight="1" x14ac:dyDescent="0.15">
      <c r="A37" s="1" t="s">
        <v>866</v>
      </c>
      <c r="B37" s="6">
        <v>1</v>
      </c>
      <c r="C37" s="6">
        <v>25</v>
      </c>
      <c r="D37" s="2" t="s">
        <v>796</v>
      </c>
      <c r="E37" s="6">
        <v>756</v>
      </c>
      <c r="F37" s="18" t="s">
        <v>58</v>
      </c>
      <c r="G37" s="18"/>
      <c r="H37" s="18"/>
      <c r="I37" s="18"/>
      <c r="J37" s="13">
        <f>I456</f>
        <v>0</v>
      </c>
      <c r="K37" s="24" t="s">
        <v>327</v>
      </c>
      <c r="L37" s="24" t="s">
        <v>327</v>
      </c>
      <c r="M37" s="8"/>
    </row>
    <row r="38" spans="1:13" s="3" customFormat="1" ht="12" customHeight="1" x14ac:dyDescent="0.15">
      <c r="A38" s="29" t="s">
        <v>905</v>
      </c>
      <c r="B38" s="6"/>
      <c r="C38" s="6"/>
      <c r="D38" s="2"/>
      <c r="E38" s="6"/>
      <c r="F38" s="24" t="s">
        <v>327</v>
      </c>
      <c r="G38" s="24" t="s">
        <v>327</v>
      </c>
      <c r="H38" s="24" t="s">
        <v>327</v>
      </c>
      <c r="I38" s="24" t="s">
        <v>327</v>
      </c>
      <c r="J38" s="24" t="s">
        <v>327</v>
      </c>
      <c r="K38" s="24" t="s">
        <v>327</v>
      </c>
      <c r="L38" s="24" t="s">
        <v>327</v>
      </c>
      <c r="M38" s="8"/>
    </row>
    <row r="39" spans="1:13" s="3" customFormat="1" ht="12" customHeight="1" x14ac:dyDescent="0.15">
      <c r="A39" s="1" t="s">
        <v>867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327</v>
      </c>
      <c r="L39" s="24" t="s">
        <v>327</v>
      </c>
      <c r="M39" s="8"/>
    </row>
    <row r="40" spans="1:13" s="3" customFormat="1" ht="12" customHeight="1" x14ac:dyDescent="0.15">
      <c r="A40" s="1" t="s">
        <v>823</v>
      </c>
      <c r="B40" s="6">
        <v>1</v>
      </c>
      <c r="C40" s="6">
        <v>27</v>
      </c>
      <c r="D40" s="2"/>
      <c r="E40" s="6"/>
      <c r="F40" s="24" t="s">
        <v>327</v>
      </c>
      <c r="G40" s="18"/>
      <c r="H40" s="24" t="s">
        <v>327</v>
      </c>
      <c r="I40" s="24" t="s">
        <v>327</v>
      </c>
      <c r="J40" s="24" t="s">
        <v>327</v>
      </c>
      <c r="K40" s="24" t="s">
        <v>327</v>
      </c>
      <c r="L40" s="24" t="s">
        <v>327</v>
      </c>
      <c r="M40" s="8"/>
    </row>
    <row r="41" spans="1:13" s="3" customFormat="1" ht="12" customHeight="1" x14ac:dyDescent="0.15">
      <c r="A41" s="1" t="s">
        <v>891</v>
      </c>
      <c r="B41" s="6">
        <v>1</v>
      </c>
      <c r="C41" s="6">
        <v>28</v>
      </c>
      <c r="D41" s="2"/>
      <c r="E41" s="6"/>
      <c r="F41" s="24" t="s">
        <v>327</v>
      </c>
      <c r="G41" s="24" t="s">
        <v>327</v>
      </c>
      <c r="H41" s="24" t="s">
        <v>327</v>
      </c>
      <c r="I41" s="18"/>
      <c r="J41" s="24" t="s">
        <v>327</v>
      </c>
      <c r="K41" s="24" t="s">
        <v>327</v>
      </c>
      <c r="L41" s="24" t="s">
        <v>327</v>
      </c>
      <c r="M41" s="8"/>
    </row>
    <row r="42" spans="1:13" s="3" customFormat="1" ht="12" customHeight="1" x14ac:dyDescent="0.15">
      <c r="A42" s="29" t="s">
        <v>861</v>
      </c>
      <c r="B42" s="6"/>
      <c r="C42" s="6"/>
      <c r="D42" s="2"/>
      <c r="E42" s="6"/>
      <c r="F42" s="24" t="s">
        <v>327</v>
      </c>
      <c r="G42" s="24" t="s">
        <v>327</v>
      </c>
      <c r="H42" s="24" t="s">
        <v>327</v>
      </c>
      <c r="I42" s="24" t="s">
        <v>327</v>
      </c>
      <c r="J42" s="24" t="s">
        <v>327</v>
      </c>
      <c r="K42" s="24" t="s">
        <v>327</v>
      </c>
      <c r="L42" s="24" t="s">
        <v>327</v>
      </c>
      <c r="M42" s="8"/>
    </row>
    <row r="43" spans="1:13" s="3" customFormat="1" ht="12" customHeight="1" x14ac:dyDescent="0.15">
      <c r="A43" s="1" t="s">
        <v>856</v>
      </c>
      <c r="B43" s="6">
        <v>1</v>
      </c>
      <c r="C43" s="6">
        <v>29</v>
      </c>
      <c r="D43" s="2" t="s">
        <v>796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327</v>
      </c>
      <c r="L43" s="24" t="s">
        <v>327</v>
      </c>
      <c r="M43" s="8"/>
    </row>
    <row r="44" spans="1:13" s="3" customFormat="1" ht="12" customHeight="1" x14ac:dyDescent="0.15">
      <c r="A44" s="1" t="s">
        <v>857</v>
      </c>
      <c r="B44" s="6">
        <v>1</v>
      </c>
      <c r="C44" s="6">
        <v>30</v>
      </c>
      <c r="D44" s="2" t="s">
        <v>796</v>
      </c>
      <c r="E44" s="6">
        <v>755</v>
      </c>
      <c r="F44" s="18">
        <v>50000</v>
      </c>
      <c r="G44" s="18"/>
      <c r="H44" s="18"/>
      <c r="I44" s="18"/>
      <c r="J44" s="24" t="s">
        <v>327</v>
      </c>
      <c r="K44" s="24" t="s">
        <v>327</v>
      </c>
      <c r="L44" s="24" t="s">
        <v>327</v>
      </c>
      <c r="M44" s="8"/>
    </row>
    <row r="45" spans="1:13" s="3" customFormat="1" ht="12" customHeight="1" x14ac:dyDescent="0.15">
      <c r="A45" s="1" t="s">
        <v>898</v>
      </c>
      <c r="B45" s="6">
        <v>1</v>
      </c>
      <c r="C45" s="6">
        <v>31</v>
      </c>
      <c r="D45" s="2"/>
      <c r="E45" s="6">
        <v>753</v>
      </c>
      <c r="F45" s="18" t="s">
        <v>58</v>
      </c>
      <c r="G45" s="18"/>
      <c r="H45" s="18"/>
      <c r="I45" s="18"/>
      <c r="J45" s="13">
        <f>I454</f>
        <v>0</v>
      </c>
      <c r="K45" s="24" t="s">
        <v>327</v>
      </c>
      <c r="L45" s="24" t="s">
        <v>327</v>
      </c>
      <c r="M45" s="8"/>
    </row>
    <row r="46" spans="1:13" s="3" customFormat="1" ht="12" customHeight="1" x14ac:dyDescent="0.15">
      <c r="A46" s="29" t="s">
        <v>862</v>
      </c>
      <c r="B46" s="6"/>
      <c r="C46" s="6"/>
      <c r="D46" s="2"/>
      <c r="E46" s="6"/>
      <c r="F46" s="24" t="s">
        <v>327</v>
      </c>
      <c r="G46" s="24" t="s">
        <v>327</v>
      </c>
      <c r="H46" s="24" t="s">
        <v>327</v>
      </c>
      <c r="I46" s="24" t="s">
        <v>327</v>
      </c>
      <c r="J46" s="24" t="s">
        <v>327</v>
      </c>
      <c r="K46" s="24" t="s">
        <v>327</v>
      </c>
      <c r="L46" s="24" t="s">
        <v>327</v>
      </c>
      <c r="M46" s="8"/>
    </row>
    <row r="47" spans="1:13" s="3" customFormat="1" ht="12" customHeight="1" x14ac:dyDescent="0.15">
      <c r="A47" s="1" t="s">
        <v>899</v>
      </c>
      <c r="B47" s="2" t="s">
        <v>328</v>
      </c>
      <c r="C47" s="6">
        <v>32</v>
      </c>
      <c r="D47" s="2" t="s">
        <v>796</v>
      </c>
      <c r="E47" s="6">
        <v>760</v>
      </c>
      <c r="F47" s="18">
        <v>0</v>
      </c>
      <c r="G47" s="18"/>
      <c r="H47" s="18"/>
      <c r="I47" s="18"/>
      <c r="J47" s="13">
        <f>SUM(I458)</f>
        <v>437930</v>
      </c>
      <c r="K47" s="24" t="s">
        <v>327</v>
      </c>
      <c r="L47" s="24" t="s">
        <v>327</v>
      </c>
      <c r="M47" s="8"/>
    </row>
    <row r="48" spans="1:13" s="3" customFormat="1" ht="12" customHeight="1" x14ac:dyDescent="0.15">
      <c r="A48" s="1" t="s">
        <v>822</v>
      </c>
      <c r="B48" s="2" t="s">
        <v>328</v>
      </c>
      <c r="C48" s="6">
        <v>33</v>
      </c>
      <c r="D48" s="2"/>
      <c r="E48" s="6">
        <v>753</v>
      </c>
      <c r="F48" s="18">
        <v>34284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900</v>
      </c>
      <c r="B49" s="2" t="s">
        <v>328</v>
      </c>
      <c r="C49" s="71">
        <v>34</v>
      </c>
      <c r="D49" s="2" t="s">
        <v>796</v>
      </c>
      <c r="E49" s="6">
        <v>770</v>
      </c>
      <c r="F49" s="18">
        <v>292948</v>
      </c>
      <c r="G49" s="24" t="s">
        <v>327</v>
      </c>
      <c r="H49" s="24" t="s">
        <v>327</v>
      </c>
      <c r="I49" s="24" t="s">
        <v>327</v>
      </c>
      <c r="J49" s="24" t="s">
        <v>327</v>
      </c>
      <c r="K49" s="24" t="s">
        <v>327</v>
      </c>
      <c r="L49" s="24" t="s">
        <v>327</v>
      </c>
      <c r="M49" s="8"/>
    </row>
    <row r="50" spans="1:13" ht="12" customHeight="1" thickTop="1" thickBot="1" x14ac:dyDescent="0.25">
      <c r="A50" s="38" t="s">
        <v>259</v>
      </c>
      <c r="B50" s="39" t="s">
        <v>328</v>
      </c>
      <c r="C50" s="51">
        <v>35</v>
      </c>
      <c r="D50" s="39" t="s">
        <v>796</v>
      </c>
      <c r="E50" s="39"/>
      <c r="F50" s="41">
        <f>SUM(F35:F49)</f>
        <v>404738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437930</v>
      </c>
      <c r="K50" s="45" t="s">
        <v>327</v>
      </c>
      <c r="L50" s="45" t="s">
        <v>327</v>
      </c>
    </row>
    <row r="51" spans="1:13" s="3" customFormat="1" ht="12" customHeight="1" thickTop="1" x14ac:dyDescent="0.15">
      <c r="A51" s="38" t="s">
        <v>611</v>
      </c>
      <c r="B51" s="39" t="s">
        <v>328</v>
      </c>
      <c r="C51" s="6">
        <v>36</v>
      </c>
      <c r="D51" s="39" t="s">
        <v>796</v>
      </c>
      <c r="E51" s="39"/>
      <c r="F51" s="41">
        <f>F50+F32</f>
        <v>627815</v>
      </c>
      <c r="G51" s="41">
        <f>G50+G32</f>
        <v>9349</v>
      </c>
      <c r="H51" s="41">
        <f>H50+H32</f>
        <v>103293</v>
      </c>
      <c r="I51" s="41">
        <f>I50+I32</f>
        <v>0</v>
      </c>
      <c r="J51" s="41">
        <f>J50+J32</f>
        <v>437930</v>
      </c>
      <c r="K51" s="45" t="s">
        <v>327</v>
      </c>
      <c r="L51" s="45" t="s">
        <v>327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312</v>
      </c>
      <c r="G52" s="23" t="s">
        <v>313</v>
      </c>
      <c r="H52" s="23" t="s">
        <v>314</v>
      </c>
      <c r="I52" s="23" t="s">
        <v>315</v>
      </c>
      <c r="J52" s="23" t="s">
        <v>316</v>
      </c>
      <c r="K52" s="20"/>
      <c r="L52" s="20"/>
      <c r="M52" s="8"/>
    </row>
    <row r="53" spans="1:13" s="3" customFormat="1" ht="12" customHeight="1" x14ac:dyDescent="0.2">
      <c r="A53" s="1" t="s">
        <v>169</v>
      </c>
      <c r="F53" s="23"/>
      <c r="G53" s="23"/>
      <c r="H53" s="23" t="s">
        <v>321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171</v>
      </c>
      <c r="E54" s="6"/>
      <c r="F54" s="16" t="s">
        <v>319</v>
      </c>
      <c r="G54" s="16" t="s">
        <v>320</v>
      </c>
      <c r="H54" s="16" t="s">
        <v>788</v>
      </c>
      <c r="I54" s="16" t="s">
        <v>322</v>
      </c>
      <c r="J54" s="16" t="s">
        <v>323</v>
      </c>
      <c r="K54" s="20"/>
      <c r="L54" s="20"/>
      <c r="M54" s="8"/>
    </row>
    <row r="55" spans="1:13" s="3" customFormat="1" ht="12" customHeight="1" x14ac:dyDescent="0.15">
      <c r="A55" s="27" t="s">
        <v>172</v>
      </c>
      <c r="E55" s="6"/>
      <c r="F55" s="24" t="s">
        <v>327</v>
      </c>
      <c r="G55" s="24" t="s">
        <v>327</v>
      </c>
      <c r="H55" s="24" t="s">
        <v>327</v>
      </c>
      <c r="I55" s="24" t="s">
        <v>327</v>
      </c>
      <c r="J55" s="24" t="s">
        <v>327</v>
      </c>
      <c r="K55" s="24" t="s">
        <v>327</v>
      </c>
      <c r="L55" s="24" t="s">
        <v>327</v>
      </c>
      <c r="M55" s="8"/>
    </row>
    <row r="56" spans="1:13" s="3" customFormat="1" ht="12" customHeight="1" x14ac:dyDescent="0.15">
      <c r="A56" s="1" t="s">
        <v>537</v>
      </c>
      <c r="B56" s="2" t="s">
        <v>173</v>
      </c>
      <c r="C56" s="6">
        <v>1</v>
      </c>
      <c r="D56" s="2" t="s">
        <v>281</v>
      </c>
      <c r="E56" s="6">
        <v>1111</v>
      </c>
      <c r="F56" s="18">
        <v>11108478</v>
      </c>
      <c r="G56" s="18"/>
      <c r="H56" s="18"/>
      <c r="I56" s="18"/>
      <c r="J56" s="18"/>
      <c r="K56" s="24" t="s">
        <v>327</v>
      </c>
      <c r="L56" s="24" t="s">
        <v>327</v>
      </c>
      <c r="M56" s="8"/>
    </row>
    <row r="57" spans="1:13" s="3" customFormat="1" ht="12" customHeight="1" x14ac:dyDescent="0.15">
      <c r="A57" s="1" t="s">
        <v>664</v>
      </c>
      <c r="B57" s="2" t="s">
        <v>173</v>
      </c>
      <c r="C57" s="6">
        <v>2</v>
      </c>
      <c r="D57" s="2" t="s">
        <v>281</v>
      </c>
      <c r="E57" s="6">
        <v>1112</v>
      </c>
      <c r="F57" s="18"/>
      <c r="G57" s="18"/>
      <c r="H57" s="24" t="s">
        <v>327</v>
      </c>
      <c r="I57" s="18"/>
      <c r="J57" s="24" t="s">
        <v>327</v>
      </c>
      <c r="K57" s="24" t="s">
        <v>327</v>
      </c>
      <c r="L57" s="24" t="s">
        <v>327</v>
      </c>
      <c r="M57" s="8"/>
    </row>
    <row r="58" spans="1:13" s="27" customFormat="1" ht="12" customHeight="1" thickBot="1" x14ac:dyDescent="0.2">
      <c r="A58" s="1" t="s">
        <v>536</v>
      </c>
      <c r="B58" s="2" t="s">
        <v>173</v>
      </c>
      <c r="C58" s="6">
        <v>3</v>
      </c>
      <c r="D58" s="2" t="s">
        <v>281</v>
      </c>
      <c r="E58" s="6">
        <v>1119</v>
      </c>
      <c r="F58" s="18"/>
      <c r="G58" s="18"/>
      <c r="H58" s="18"/>
      <c r="I58" s="18"/>
      <c r="J58" s="18"/>
      <c r="K58" s="24" t="s">
        <v>327</v>
      </c>
      <c r="L58" s="24" t="s">
        <v>327</v>
      </c>
      <c r="M58" s="31"/>
    </row>
    <row r="59" spans="1:13" s="27" customFormat="1" ht="12" customHeight="1" thickTop="1" x14ac:dyDescent="0.15">
      <c r="A59" s="38" t="s">
        <v>260</v>
      </c>
      <c r="B59" s="39" t="s">
        <v>173</v>
      </c>
      <c r="C59" s="40">
        <v>4</v>
      </c>
      <c r="D59" s="39" t="s">
        <v>281</v>
      </c>
      <c r="E59" s="40">
        <v>1100</v>
      </c>
      <c r="F59" s="41">
        <f>SUM(F56:F58)</f>
        <v>11108478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327</v>
      </c>
      <c r="L59" s="45" t="s">
        <v>327</v>
      </c>
      <c r="M59" s="31"/>
    </row>
    <row r="60" spans="1:13" s="3" customFormat="1" ht="12" customHeight="1" x14ac:dyDescent="0.15">
      <c r="A60" s="30" t="s">
        <v>669</v>
      </c>
      <c r="B60" s="27"/>
      <c r="C60" s="30" t="s">
        <v>337</v>
      </c>
      <c r="D60" s="30"/>
      <c r="E60" s="6"/>
      <c r="F60" s="24" t="s">
        <v>327</v>
      </c>
      <c r="G60" s="24" t="s">
        <v>327</v>
      </c>
      <c r="H60" s="24" t="s">
        <v>327</v>
      </c>
      <c r="I60" s="24" t="s">
        <v>327</v>
      </c>
      <c r="J60" s="24" t="s">
        <v>327</v>
      </c>
      <c r="K60" s="24" t="s">
        <v>327</v>
      </c>
      <c r="L60" s="24" t="s">
        <v>327</v>
      </c>
      <c r="M60" s="8"/>
    </row>
    <row r="61" spans="1:13" s="3" customFormat="1" ht="12" customHeight="1" x14ac:dyDescent="0.15">
      <c r="A61" s="30" t="s">
        <v>175</v>
      </c>
      <c r="B61" s="27"/>
      <c r="C61" s="30"/>
      <c r="D61" s="30"/>
      <c r="E61" s="6">
        <v>1310</v>
      </c>
      <c r="F61" s="24" t="s">
        <v>327</v>
      </c>
      <c r="G61" s="24" t="s">
        <v>327</v>
      </c>
      <c r="H61" s="24" t="s">
        <v>327</v>
      </c>
      <c r="I61" s="24" t="s">
        <v>327</v>
      </c>
      <c r="J61" s="24" t="s">
        <v>327</v>
      </c>
      <c r="K61" s="24" t="s">
        <v>327</v>
      </c>
      <c r="L61" s="24" t="s">
        <v>327</v>
      </c>
      <c r="M61" s="8"/>
    </row>
    <row r="62" spans="1:13" s="3" customFormat="1" ht="12" customHeight="1" x14ac:dyDescent="0.15">
      <c r="A62" s="1" t="s">
        <v>665</v>
      </c>
      <c r="B62" s="2" t="s">
        <v>173</v>
      </c>
      <c r="C62" s="6">
        <v>5</v>
      </c>
      <c r="D62" s="2" t="s">
        <v>281</v>
      </c>
      <c r="E62" s="6">
        <v>1311</v>
      </c>
      <c r="F62" s="18">
        <v>42763</v>
      </c>
      <c r="G62" s="24" t="s">
        <v>327</v>
      </c>
      <c r="H62" s="18"/>
      <c r="I62" s="24" t="s">
        <v>327</v>
      </c>
      <c r="J62" s="24" t="s">
        <v>327</v>
      </c>
      <c r="K62" s="24" t="s">
        <v>327</v>
      </c>
      <c r="L62" s="24" t="s">
        <v>327</v>
      </c>
      <c r="M62" s="8"/>
    </row>
    <row r="63" spans="1:13" s="3" customFormat="1" ht="12" customHeight="1" x14ac:dyDescent="0.15">
      <c r="A63" s="1" t="s">
        <v>666</v>
      </c>
      <c r="B63" s="2" t="s">
        <v>173</v>
      </c>
      <c r="C63" s="6">
        <v>6</v>
      </c>
      <c r="D63" s="2" t="s">
        <v>281</v>
      </c>
      <c r="E63" s="6">
        <v>1314</v>
      </c>
      <c r="F63" s="18"/>
      <c r="G63" s="24" t="s">
        <v>327</v>
      </c>
      <c r="H63" s="18"/>
      <c r="I63" s="24" t="s">
        <v>327</v>
      </c>
      <c r="J63" s="24" t="s">
        <v>327</v>
      </c>
      <c r="K63" s="24" t="s">
        <v>327</v>
      </c>
      <c r="L63" s="24" t="s">
        <v>327</v>
      </c>
      <c r="M63" s="8"/>
    </row>
    <row r="64" spans="1:13" s="27" customFormat="1" ht="12" customHeight="1" x14ac:dyDescent="0.15">
      <c r="A64" s="1" t="s">
        <v>524</v>
      </c>
      <c r="B64" s="2" t="s">
        <v>173</v>
      </c>
      <c r="C64" s="6">
        <v>7</v>
      </c>
      <c r="D64" s="2" t="s">
        <v>281</v>
      </c>
      <c r="E64" s="6">
        <v>1315</v>
      </c>
      <c r="F64" s="18"/>
      <c r="G64" s="24" t="s">
        <v>327</v>
      </c>
      <c r="H64" s="18"/>
      <c r="I64" s="24" t="s">
        <v>327</v>
      </c>
      <c r="J64" s="24" t="s">
        <v>327</v>
      </c>
      <c r="K64" s="24" t="s">
        <v>327</v>
      </c>
      <c r="L64" s="24" t="s">
        <v>327</v>
      </c>
      <c r="M64" s="31"/>
    </row>
    <row r="65" spans="1:13" s="3" customFormat="1" ht="12" customHeight="1" x14ac:dyDescent="0.15">
      <c r="A65" s="1" t="s">
        <v>360</v>
      </c>
      <c r="B65" s="2" t="s">
        <v>173</v>
      </c>
      <c r="C65" s="6">
        <v>8</v>
      </c>
      <c r="D65" s="2" t="s">
        <v>281</v>
      </c>
      <c r="E65" s="6">
        <v>1316</v>
      </c>
      <c r="F65" s="18"/>
      <c r="G65" s="24" t="s">
        <v>327</v>
      </c>
      <c r="H65" s="18"/>
      <c r="I65" s="24" t="s">
        <v>327</v>
      </c>
      <c r="J65" s="24" t="s">
        <v>327</v>
      </c>
      <c r="K65" s="24" t="s">
        <v>327</v>
      </c>
      <c r="L65" s="24" t="s">
        <v>327</v>
      </c>
      <c r="M65" s="8"/>
    </row>
    <row r="66" spans="1:13" s="3" customFormat="1" ht="12" customHeight="1" x14ac:dyDescent="0.15">
      <c r="A66" s="30" t="s">
        <v>427</v>
      </c>
      <c r="B66" s="2"/>
      <c r="C66" s="6"/>
      <c r="D66" s="6"/>
      <c r="E66" s="6">
        <v>1320</v>
      </c>
      <c r="F66" s="24" t="s">
        <v>327</v>
      </c>
      <c r="G66" s="24" t="s">
        <v>327</v>
      </c>
      <c r="H66" s="24" t="s">
        <v>327</v>
      </c>
      <c r="I66" s="24" t="s">
        <v>327</v>
      </c>
      <c r="J66" s="24" t="s">
        <v>327</v>
      </c>
      <c r="K66" s="24" t="s">
        <v>327</v>
      </c>
      <c r="L66" s="24" t="s">
        <v>327</v>
      </c>
      <c r="M66" s="8"/>
    </row>
    <row r="67" spans="1:13" s="3" customFormat="1" ht="12" customHeight="1" x14ac:dyDescent="0.15">
      <c r="A67" s="1" t="s">
        <v>665</v>
      </c>
      <c r="B67" s="2" t="s">
        <v>173</v>
      </c>
      <c r="C67" s="6">
        <v>9</v>
      </c>
      <c r="D67" s="2" t="s">
        <v>281</v>
      </c>
      <c r="E67" s="6">
        <v>1321</v>
      </c>
      <c r="F67" s="18">
        <v>0</v>
      </c>
      <c r="G67" s="24" t="s">
        <v>327</v>
      </c>
      <c r="H67" s="18"/>
      <c r="I67" s="24" t="s">
        <v>327</v>
      </c>
      <c r="J67" s="24" t="s">
        <v>327</v>
      </c>
      <c r="K67" s="24" t="s">
        <v>327</v>
      </c>
      <c r="L67" s="24" t="s">
        <v>327</v>
      </c>
      <c r="M67" s="8"/>
    </row>
    <row r="68" spans="1:13" s="3" customFormat="1" ht="12" customHeight="1" x14ac:dyDescent="0.15">
      <c r="A68" s="1" t="s">
        <v>667</v>
      </c>
      <c r="B68" s="2" t="s">
        <v>173</v>
      </c>
      <c r="C68" s="6">
        <v>10</v>
      </c>
      <c r="D68" s="2" t="s">
        <v>281</v>
      </c>
      <c r="E68" s="6">
        <v>1322</v>
      </c>
      <c r="F68" s="18">
        <v>0</v>
      </c>
      <c r="G68" s="24" t="s">
        <v>327</v>
      </c>
      <c r="H68" s="18"/>
      <c r="I68" s="24" t="s">
        <v>327</v>
      </c>
      <c r="J68" s="24" t="s">
        <v>327</v>
      </c>
      <c r="K68" s="24" t="s">
        <v>327</v>
      </c>
      <c r="L68" s="24" t="s">
        <v>327</v>
      </c>
      <c r="M68" s="8"/>
    </row>
    <row r="69" spans="1:13" s="3" customFormat="1" ht="12" customHeight="1" x14ac:dyDescent="0.15">
      <c r="A69" s="1" t="s">
        <v>668</v>
      </c>
      <c r="B69" s="2" t="s">
        <v>173</v>
      </c>
      <c r="C69" s="6">
        <v>11</v>
      </c>
      <c r="D69" s="2" t="s">
        <v>281</v>
      </c>
      <c r="E69" s="6">
        <v>1323</v>
      </c>
      <c r="F69" s="18"/>
      <c r="G69" s="24" t="s">
        <v>327</v>
      </c>
      <c r="H69" s="18"/>
      <c r="I69" s="24" t="s">
        <v>327</v>
      </c>
      <c r="J69" s="24" t="s">
        <v>327</v>
      </c>
      <c r="K69" s="24" t="s">
        <v>327</v>
      </c>
      <c r="L69" s="24" t="s">
        <v>327</v>
      </c>
      <c r="M69" s="8"/>
    </row>
    <row r="70" spans="1:13" s="3" customFormat="1" ht="12" customHeight="1" x14ac:dyDescent="0.15">
      <c r="A70" s="30" t="s">
        <v>428</v>
      </c>
      <c r="B70" s="1" t="s">
        <v>337</v>
      </c>
      <c r="E70" s="6">
        <v>1330</v>
      </c>
      <c r="F70" s="24" t="s">
        <v>327</v>
      </c>
      <c r="G70" s="24" t="s">
        <v>327</v>
      </c>
      <c r="H70" s="24" t="s">
        <v>327</v>
      </c>
      <c r="I70" s="24" t="s">
        <v>327</v>
      </c>
      <c r="J70" s="24" t="s">
        <v>327</v>
      </c>
      <c r="K70" s="24" t="s">
        <v>327</v>
      </c>
      <c r="L70" s="24" t="s">
        <v>327</v>
      </c>
      <c r="M70" s="8"/>
    </row>
    <row r="71" spans="1:13" s="3" customFormat="1" ht="12" customHeight="1" x14ac:dyDescent="0.15">
      <c r="A71" s="1" t="s">
        <v>665</v>
      </c>
      <c r="B71" s="2" t="s">
        <v>173</v>
      </c>
      <c r="C71" s="6">
        <v>12</v>
      </c>
      <c r="D71" s="2" t="s">
        <v>281</v>
      </c>
      <c r="E71" s="6">
        <v>1331</v>
      </c>
      <c r="F71" s="18"/>
      <c r="G71" s="24" t="s">
        <v>327</v>
      </c>
      <c r="H71" s="18"/>
      <c r="I71" s="24" t="s">
        <v>327</v>
      </c>
      <c r="J71" s="24" t="s">
        <v>327</v>
      </c>
      <c r="K71" s="24" t="s">
        <v>327</v>
      </c>
      <c r="L71" s="24" t="s">
        <v>327</v>
      </c>
      <c r="M71" s="8"/>
    </row>
    <row r="72" spans="1:13" s="3" customFormat="1" ht="12" customHeight="1" x14ac:dyDescent="0.15">
      <c r="A72" s="1" t="s">
        <v>667</v>
      </c>
      <c r="B72" s="2" t="s">
        <v>173</v>
      </c>
      <c r="C72" s="6">
        <v>13</v>
      </c>
      <c r="D72" s="2" t="s">
        <v>281</v>
      </c>
      <c r="E72" s="6">
        <v>1332</v>
      </c>
      <c r="F72" s="18"/>
      <c r="G72" s="24" t="s">
        <v>327</v>
      </c>
      <c r="H72" s="18"/>
      <c r="I72" s="24" t="s">
        <v>327</v>
      </c>
      <c r="J72" s="24" t="s">
        <v>327</v>
      </c>
      <c r="K72" s="24" t="s">
        <v>327</v>
      </c>
      <c r="L72" s="24" t="s">
        <v>327</v>
      </c>
      <c r="M72" s="8"/>
    </row>
    <row r="73" spans="1:13" s="3" customFormat="1" ht="12" customHeight="1" x14ac:dyDescent="0.15">
      <c r="A73" s="1" t="s">
        <v>668</v>
      </c>
      <c r="B73" s="2" t="s">
        <v>173</v>
      </c>
      <c r="C73" s="6">
        <v>14</v>
      </c>
      <c r="D73" s="2" t="s">
        <v>281</v>
      </c>
      <c r="E73" s="6">
        <v>1333</v>
      </c>
      <c r="F73" s="18"/>
      <c r="G73" s="24" t="s">
        <v>327</v>
      </c>
      <c r="H73" s="18"/>
      <c r="I73" s="24" t="s">
        <v>327</v>
      </c>
      <c r="J73" s="24" t="s">
        <v>327</v>
      </c>
      <c r="K73" s="24" t="s">
        <v>327</v>
      </c>
      <c r="L73" s="24" t="s">
        <v>327</v>
      </c>
      <c r="M73" s="8"/>
    </row>
    <row r="74" spans="1:13" s="3" customFormat="1" ht="12" customHeight="1" x14ac:dyDescent="0.15">
      <c r="A74" s="30" t="s">
        <v>344</v>
      </c>
      <c r="E74" s="6">
        <v>1340</v>
      </c>
      <c r="F74" s="24" t="s">
        <v>327</v>
      </c>
      <c r="G74" s="24" t="s">
        <v>327</v>
      </c>
      <c r="H74" s="24" t="s">
        <v>327</v>
      </c>
      <c r="I74" s="24" t="s">
        <v>327</v>
      </c>
      <c r="J74" s="24" t="s">
        <v>327</v>
      </c>
      <c r="K74" s="24" t="s">
        <v>327</v>
      </c>
      <c r="L74" s="24" t="s">
        <v>327</v>
      </c>
      <c r="M74" s="8"/>
    </row>
    <row r="75" spans="1:13" s="3" customFormat="1" ht="12" customHeight="1" x14ac:dyDescent="0.15">
      <c r="A75" s="1" t="s">
        <v>665</v>
      </c>
      <c r="B75" s="2" t="s">
        <v>173</v>
      </c>
      <c r="C75" s="6">
        <v>15</v>
      </c>
      <c r="D75" s="2" t="s">
        <v>281</v>
      </c>
      <c r="E75" s="6">
        <v>1341</v>
      </c>
      <c r="F75" s="18"/>
      <c r="G75" s="24" t="s">
        <v>327</v>
      </c>
      <c r="H75" s="18"/>
      <c r="I75" s="24" t="s">
        <v>327</v>
      </c>
      <c r="J75" s="24" t="s">
        <v>327</v>
      </c>
      <c r="K75" s="24" t="s">
        <v>327</v>
      </c>
      <c r="L75" s="24" t="s">
        <v>327</v>
      </c>
      <c r="M75" s="8"/>
    </row>
    <row r="76" spans="1:13" s="3" customFormat="1" ht="12" customHeight="1" x14ac:dyDescent="0.15">
      <c r="A76" s="1" t="s">
        <v>667</v>
      </c>
      <c r="B76" s="2" t="s">
        <v>173</v>
      </c>
      <c r="C76" s="6">
        <v>16</v>
      </c>
      <c r="D76" s="2" t="s">
        <v>281</v>
      </c>
      <c r="E76" s="6">
        <v>1342</v>
      </c>
      <c r="F76" s="18"/>
      <c r="G76" s="24" t="s">
        <v>327</v>
      </c>
      <c r="H76" s="18"/>
      <c r="I76" s="24" t="s">
        <v>327</v>
      </c>
      <c r="J76" s="24" t="s">
        <v>327</v>
      </c>
      <c r="K76" s="24" t="s">
        <v>327</v>
      </c>
      <c r="L76" s="24" t="s">
        <v>327</v>
      </c>
      <c r="M76" s="8"/>
    </row>
    <row r="77" spans="1:13" ht="12" customHeight="1" thickBot="1" x14ac:dyDescent="0.25">
      <c r="A77" s="1" t="s">
        <v>536</v>
      </c>
      <c r="B77" s="2" t="s">
        <v>173</v>
      </c>
      <c r="C77" s="6">
        <v>17</v>
      </c>
      <c r="D77" s="2" t="s">
        <v>281</v>
      </c>
      <c r="E77" s="6">
        <v>1349</v>
      </c>
      <c r="F77" s="18"/>
      <c r="G77" s="24" t="s">
        <v>327</v>
      </c>
      <c r="H77" s="18"/>
      <c r="I77" s="24" t="s">
        <v>327</v>
      </c>
      <c r="J77" s="24" t="s">
        <v>327</v>
      </c>
      <c r="K77" s="24" t="s">
        <v>327</v>
      </c>
      <c r="L77" s="24" t="s">
        <v>327</v>
      </c>
    </row>
    <row r="78" spans="1:13" s="3" customFormat="1" ht="12" customHeight="1" thickTop="1" x14ac:dyDescent="0.15">
      <c r="A78" s="38" t="s">
        <v>426</v>
      </c>
      <c r="B78" s="39" t="s">
        <v>173</v>
      </c>
      <c r="C78" s="39" t="s">
        <v>345</v>
      </c>
      <c r="D78" s="39" t="s">
        <v>281</v>
      </c>
      <c r="E78" s="40">
        <v>1300</v>
      </c>
      <c r="F78" s="41">
        <f>SUM(F62:F77)</f>
        <v>42763</v>
      </c>
      <c r="G78" s="45" t="s">
        <v>327</v>
      </c>
      <c r="H78" s="41">
        <f>SUM(H62:H77)</f>
        <v>0</v>
      </c>
      <c r="I78" s="45" t="s">
        <v>327</v>
      </c>
      <c r="J78" s="45" t="s">
        <v>327</v>
      </c>
      <c r="K78" s="45" t="s">
        <v>327</v>
      </c>
      <c r="L78" s="45" t="s">
        <v>327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312</v>
      </c>
      <c r="G79" s="23" t="s">
        <v>313</v>
      </c>
      <c r="H79" s="23" t="s">
        <v>314</v>
      </c>
      <c r="I79" s="23" t="s">
        <v>315</v>
      </c>
      <c r="J79" s="23" t="s">
        <v>316</v>
      </c>
      <c r="K79" s="20"/>
      <c r="L79" s="20"/>
      <c r="M79" s="8"/>
    </row>
    <row r="80" spans="1:13" s="3" customFormat="1" ht="12" customHeight="1" x14ac:dyDescent="0.2">
      <c r="A80" s="170" t="s">
        <v>670</v>
      </c>
      <c r="C80" s="23"/>
      <c r="D80" s="23"/>
      <c r="E80" s="23"/>
      <c r="F80" s="23"/>
      <c r="G80" s="23"/>
      <c r="H80" s="23" t="s">
        <v>321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429</v>
      </c>
      <c r="C81" s="23"/>
      <c r="D81" s="23"/>
      <c r="E81" s="6">
        <v>1410</v>
      </c>
      <c r="F81" s="16" t="s">
        <v>319</v>
      </c>
      <c r="G81" s="16" t="s">
        <v>320</v>
      </c>
      <c r="H81" s="16" t="s">
        <v>788</v>
      </c>
      <c r="I81" s="16" t="s">
        <v>322</v>
      </c>
      <c r="J81" s="16" t="s">
        <v>323</v>
      </c>
      <c r="K81" s="20"/>
      <c r="L81" s="20"/>
      <c r="M81" s="8"/>
    </row>
    <row r="82" spans="1:13" s="3" customFormat="1" ht="12" customHeight="1" x14ac:dyDescent="0.15">
      <c r="A82" s="1" t="s">
        <v>665</v>
      </c>
      <c r="B82" s="2" t="s">
        <v>346</v>
      </c>
      <c r="C82" s="6">
        <v>1</v>
      </c>
      <c r="D82" s="2" t="s">
        <v>281</v>
      </c>
      <c r="E82" s="6">
        <v>1411</v>
      </c>
      <c r="F82" s="18"/>
      <c r="G82" s="24" t="s">
        <v>327</v>
      </c>
      <c r="H82" s="18"/>
      <c r="I82" s="24" t="s">
        <v>327</v>
      </c>
      <c r="J82" s="24" t="s">
        <v>327</v>
      </c>
      <c r="K82" s="24" t="s">
        <v>327</v>
      </c>
      <c r="L82" s="24" t="s">
        <v>327</v>
      </c>
      <c r="M82" s="8"/>
    </row>
    <row r="83" spans="1:13" s="3" customFormat="1" ht="12" customHeight="1" x14ac:dyDescent="0.15">
      <c r="A83" s="1" t="s">
        <v>666</v>
      </c>
      <c r="B83" s="2" t="s">
        <v>346</v>
      </c>
      <c r="C83" s="6">
        <v>2</v>
      </c>
      <c r="D83" s="2" t="s">
        <v>281</v>
      </c>
      <c r="E83" s="6">
        <v>1414</v>
      </c>
      <c r="F83" s="18"/>
      <c r="G83" s="24" t="s">
        <v>327</v>
      </c>
      <c r="H83" s="18"/>
      <c r="I83" s="24" t="s">
        <v>327</v>
      </c>
      <c r="J83" s="24" t="s">
        <v>327</v>
      </c>
      <c r="K83" s="24" t="s">
        <v>327</v>
      </c>
      <c r="L83" s="24" t="s">
        <v>327</v>
      </c>
      <c r="M83" s="8"/>
    </row>
    <row r="84" spans="1:13" s="3" customFormat="1" ht="12" customHeight="1" x14ac:dyDescent="0.15">
      <c r="A84" s="30" t="s">
        <v>343</v>
      </c>
      <c r="C84" s="23"/>
      <c r="D84" s="23"/>
      <c r="E84" s="6">
        <v>1420</v>
      </c>
      <c r="F84" s="24" t="s">
        <v>327</v>
      </c>
      <c r="G84" s="24" t="s">
        <v>327</v>
      </c>
      <c r="H84" s="24" t="s">
        <v>327</v>
      </c>
      <c r="I84" s="24" t="s">
        <v>327</v>
      </c>
      <c r="J84" s="24" t="s">
        <v>327</v>
      </c>
      <c r="K84" s="24" t="s">
        <v>327</v>
      </c>
      <c r="L84" s="24" t="s">
        <v>327</v>
      </c>
      <c r="M84" s="8"/>
    </row>
    <row r="85" spans="1:13" s="3" customFormat="1" ht="12" customHeight="1" x14ac:dyDescent="0.15">
      <c r="A85" s="1" t="s">
        <v>665</v>
      </c>
      <c r="B85" s="1" t="s">
        <v>346</v>
      </c>
      <c r="C85" s="6">
        <v>3</v>
      </c>
      <c r="D85" s="2" t="s">
        <v>281</v>
      </c>
      <c r="E85" s="6">
        <v>1421</v>
      </c>
      <c r="F85" s="18"/>
      <c r="G85" s="24" t="s">
        <v>327</v>
      </c>
      <c r="H85" s="18"/>
      <c r="I85" s="24" t="s">
        <v>327</v>
      </c>
      <c r="J85" s="24" t="s">
        <v>327</v>
      </c>
      <c r="K85" s="24" t="s">
        <v>327</v>
      </c>
      <c r="L85" s="24" t="s">
        <v>327</v>
      </c>
      <c r="M85" s="8"/>
    </row>
    <row r="86" spans="1:13" s="3" customFormat="1" ht="12" customHeight="1" x14ac:dyDescent="0.15">
      <c r="A86" s="1" t="s">
        <v>667</v>
      </c>
      <c r="B86" s="2" t="s">
        <v>346</v>
      </c>
      <c r="C86" s="6">
        <v>4</v>
      </c>
      <c r="D86" s="2" t="s">
        <v>281</v>
      </c>
      <c r="E86" s="6">
        <v>1422</v>
      </c>
      <c r="F86" s="18"/>
      <c r="G86" s="24" t="s">
        <v>327</v>
      </c>
      <c r="H86" s="18"/>
      <c r="I86" s="24" t="s">
        <v>327</v>
      </c>
      <c r="J86" s="24" t="s">
        <v>327</v>
      </c>
      <c r="K86" s="24" t="s">
        <v>327</v>
      </c>
      <c r="L86" s="24" t="s">
        <v>327</v>
      </c>
      <c r="M86" s="8"/>
    </row>
    <row r="87" spans="1:13" s="3" customFormat="1" ht="12" customHeight="1" x14ac:dyDescent="0.15">
      <c r="A87" s="1" t="s">
        <v>668</v>
      </c>
      <c r="B87" s="2" t="s">
        <v>346</v>
      </c>
      <c r="C87" s="6">
        <v>5</v>
      </c>
      <c r="D87" s="2" t="s">
        <v>281</v>
      </c>
      <c r="E87" s="6">
        <v>1423</v>
      </c>
      <c r="F87" s="18"/>
      <c r="G87" s="24" t="s">
        <v>327</v>
      </c>
      <c r="H87" s="18"/>
      <c r="I87" s="24" t="s">
        <v>327</v>
      </c>
      <c r="J87" s="24" t="s">
        <v>327</v>
      </c>
      <c r="K87" s="24" t="s">
        <v>327</v>
      </c>
      <c r="L87" s="24" t="s">
        <v>327</v>
      </c>
      <c r="M87" s="8"/>
    </row>
    <row r="88" spans="1:13" s="3" customFormat="1" ht="12" customHeight="1" x14ac:dyDescent="0.15">
      <c r="A88" s="30" t="s">
        <v>347</v>
      </c>
      <c r="C88" s="23"/>
      <c r="D88" s="23"/>
      <c r="E88" s="6">
        <v>1430</v>
      </c>
      <c r="F88" s="24" t="s">
        <v>327</v>
      </c>
      <c r="G88" s="24" t="s">
        <v>327</v>
      </c>
      <c r="H88" s="24" t="s">
        <v>327</v>
      </c>
      <c r="I88" s="24" t="s">
        <v>327</v>
      </c>
      <c r="J88" s="24" t="s">
        <v>327</v>
      </c>
      <c r="K88" s="24" t="s">
        <v>327</v>
      </c>
      <c r="L88" s="24" t="s">
        <v>327</v>
      </c>
      <c r="M88" s="8"/>
    </row>
    <row r="89" spans="1:13" s="3" customFormat="1" ht="12" customHeight="1" x14ac:dyDescent="0.15">
      <c r="A89" s="1" t="s">
        <v>665</v>
      </c>
      <c r="B89" s="2" t="s">
        <v>346</v>
      </c>
      <c r="C89" s="6">
        <v>6</v>
      </c>
      <c r="D89" s="2" t="s">
        <v>281</v>
      </c>
      <c r="E89" s="6">
        <v>1431</v>
      </c>
      <c r="F89" s="18"/>
      <c r="G89" s="24" t="s">
        <v>327</v>
      </c>
      <c r="H89" s="18"/>
      <c r="I89" s="24" t="s">
        <v>327</v>
      </c>
      <c r="J89" s="24" t="s">
        <v>327</v>
      </c>
      <c r="K89" s="24" t="s">
        <v>327</v>
      </c>
      <c r="L89" s="24" t="s">
        <v>327</v>
      </c>
      <c r="M89" s="8"/>
    </row>
    <row r="90" spans="1:13" s="3" customFormat="1" ht="12" customHeight="1" x14ac:dyDescent="0.15">
      <c r="A90" s="1" t="s">
        <v>667</v>
      </c>
      <c r="B90" s="2" t="s">
        <v>346</v>
      </c>
      <c r="C90" s="6">
        <v>7</v>
      </c>
      <c r="D90" s="2" t="s">
        <v>281</v>
      </c>
      <c r="E90" s="6">
        <v>1432</v>
      </c>
      <c r="F90" s="18"/>
      <c r="G90" s="24" t="s">
        <v>327</v>
      </c>
      <c r="H90" s="18"/>
      <c r="I90" s="24" t="s">
        <v>327</v>
      </c>
      <c r="J90" s="24" t="s">
        <v>327</v>
      </c>
      <c r="K90" s="24" t="s">
        <v>327</v>
      </c>
      <c r="L90" s="24" t="s">
        <v>327</v>
      </c>
      <c r="M90" s="8"/>
    </row>
    <row r="91" spans="1:13" s="3" customFormat="1" ht="12" customHeight="1" x14ac:dyDescent="0.15">
      <c r="A91" s="1" t="s">
        <v>668</v>
      </c>
      <c r="B91" s="2" t="s">
        <v>346</v>
      </c>
      <c r="C91" s="6">
        <v>8</v>
      </c>
      <c r="D91" s="2" t="s">
        <v>281</v>
      </c>
      <c r="E91" s="6">
        <v>1433</v>
      </c>
      <c r="F91" s="18"/>
      <c r="G91" s="24" t="s">
        <v>327</v>
      </c>
      <c r="H91" s="18"/>
      <c r="I91" s="24" t="s">
        <v>327</v>
      </c>
      <c r="J91" s="24" t="s">
        <v>327</v>
      </c>
      <c r="K91" s="24" t="s">
        <v>327</v>
      </c>
      <c r="L91" s="24" t="s">
        <v>327</v>
      </c>
      <c r="M91" s="8"/>
    </row>
    <row r="92" spans="1:13" s="3" customFormat="1" ht="12" customHeight="1" thickBot="1" x14ac:dyDescent="0.2">
      <c r="A92" s="1" t="s">
        <v>671</v>
      </c>
      <c r="B92" s="2" t="s">
        <v>346</v>
      </c>
      <c r="C92" s="6">
        <v>9</v>
      </c>
      <c r="D92" s="2" t="s">
        <v>281</v>
      </c>
      <c r="E92" s="6">
        <v>1440</v>
      </c>
      <c r="F92" s="18"/>
      <c r="G92" s="24" t="s">
        <v>327</v>
      </c>
      <c r="H92" s="18"/>
      <c r="I92" s="24" t="s">
        <v>327</v>
      </c>
      <c r="J92" s="24" t="s">
        <v>327</v>
      </c>
      <c r="K92" s="24" t="s">
        <v>327</v>
      </c>
      <c r="L92" s="24" t="s">
        <v>327</v>
      </c>
      <c r="M92" s="8"/>
    </row>
    <row r="93" spans="1:13" s="3" customFormat="1" ht="12" customHeight="1" thickTop="1" x14ac:dyDescent="0.15">
      <c r="A93" s="38" t="s">
        <v>430</v>
      </c>
      <c r="B93" s="39" t="s">
        <v>346</v>
      </c>
      <c r="C93" s="40">
        <v>10</v>
      </c>
      <c r="D93" s="39" t="s">
        <v>281</v>
      </c>
      <c r="E93" s="40">
        <v>1400</v>
      </c>
      <c r="F93" s="41">
        <f>SUM(F82:F92)</f>
        <v>0</v>
      </c>
      <c r="G93" s="45" t="s">
        <v>327</v>
      </c>
      <c r="H93" s="41">
        <f>SUM(H82:H92)</f>
        <v>0</v>
      </c>
      <c r="I93" s="45" t="s">
        <v>327</v>
      </c>
      <c r="J93" s="45" t="s">
        <v>327</v>
      </c>
      <c r="K93" s="45" t="s">
        <v>327</v>
      </c>
      <c r="L93" s="45" t="s">
        <v>327</v>
      </c>
      <c r="M93" s="8"/>
    </row>
    <row r="94" spans="1:13" s="3" customFormat="1" ht="12" customHeight="1" x14ac:dyDescent="0.15">
      <c r="A94" s="30" t="s">
        <v>348</v>
      </c>
      <c r="B94" s="2" t="s">
        <v>325</v>
      </c>
      <c r="C94" s="6" t="s">
        <v>325</v>
      </c>
      <c r="D94" s="6"/>
      <c r="E94" s="6"/>
      <c r="F94" s="24" t="s">
        <v>327</v>
      </c>
      <c r="G94" s="24" t="s">
        <v>327</v>
      </c>
      <c r="H94" s="24" t="s">
        <v>327</v>
      </c>
      <c r="I94" s="24" t="s">
        <v>327</v>
      </c>
      <c r="J94" s="24" t="s">
        <v>327</v>
      </c>
      <c r="K94" s="24" t="s">
        <v>327</v>
      </c>
      <c r="L94" s="24" t="s">
        <v>327</v>
      </c>
      <c r="M94" s="8"/>
    </row>
    <row r="95" spans="1:13" s="3" customFormat="1" ht="12" customHeight="1" x14ac:dyDescent="0.15">
      <c r="A95" s="1" t="s">
        <v>620</v>
      </c>
      <c r="B95" s="2" t="s">
        <v>346</v>
      </c>
      <c r="C95" s="6">
        <v>11</v>
      </c>
      <c r="D95" s="2" t="s">
        <v>281</v>
      </c>
      <c r="E95" s="6">
        <v>1500</v>
      </c>
      <c r="F95" s="18">
        <v>1473</v>
      </c>
      <c r="G95" s="18"/>
      <c r="H95" s="18"/>
      <c r="I95" s="18"/>
      <c r="J95" s="18">
        <v>738</v>
      </c>
      <c r="K95" s="24" t="s">
        <v>327</v>
      </c>
      <c r="L95" s="24" t="s">
        <v>327</v>
      </c>
      <c r="M95" s="8"/>
    </row>
    <row r="96" spans="1:13" s="3" customFormat="1" ht="12" customHeight="1" x14ac:dyDescent="0.15">
      <c r="A96" s="1" t="s">
        <v>528</v>
      </c>
      <c r="B96" s="2" t="s">
        <v>346</v>
      </c>
      <c r="C96" s="6">
        <v>12</v>
      </c>
      <c r="D96" s="2" t="s">
        <v>281</v>
      </c>
      <c r="E96" s="6">
        <v>1600</v>
      </c>
      <c r="F96" s="24" t="s">
        <v>327</v>
      </c>
      <c r="G96" s="18">
        <v>219059</v>
      </c>
      <c r="H96" s="24" t="s">
        <v>327</v>
      </c>
      <c r="I96" s="24" t="s">
        <v>327</v>
      </c>
      <c r="J96" s="24" t="s">
        <v>327</v>
      </c>
      <c r="K96" s="24" t="s">
        <v>327</v>
      </c>
      <c r="L96" s="24" t="s">
        <v>327</v>
      </c>
      <c r="M96" s="8"/>
    </row>
    <row r="97" spans="1:13" s="3" customFormat="1" ht="12" customHeight="1" x14ac:dyDescent="0.15">
      <c r="A97" s="1" t="s">
        <v>529</v>
      </c>
      <c r="B97" s="2" t="s">
        <v>346</v>
      </c>
      <c r="C97" s="6">
        <v>13</v>
      </c>
      <c r="D97" s="2" t="s">
        <v>281</v>
      </c>
      <c r="E97" s="6">
        <v>1700</v>
      </c>
      <c r="F97" s="18">
        <v>38237</v>
      </c>
      <c r="G97" s="24" t="s">
        <v>327</v>
      </c>
      <c r="H97" s="18"/>
      <c r="I97" s="24" t="s">
        <v>327</v>
      </c>
      <c r="J97" s="24" t="s">
        <v>327</v>
      </c>
      <c r="K97" s="24" t="s">
        <v>327</v>
      </c>
      <c r="L97" s="24" t="s">
        <v>327</v>
      </c>
      <c r="M97" s="8"/>
    </row>
    <row r="98" spans="1:13" s="3" customFormat="1" ht="12" customHeight="1" x14ac:dyDescent="0.15">
      <c r="A98" s="1" t="s">
        <v>615</v>
      </c>
      <c r="B98" s="2" t="s">
        <v>346</v>
      </c>
      <c r="C98" s="6">
        <v>14</v>
      </c>
      <c r="D98" s="2" t="s">
        <v>281</v>
      </c>
      <c r="E98" s="6">
        <v>1800</v>
      </c>
      <c r="F98" s="18">
        <v>0</v>
      </c>
      <c r="G98" s="18"/>
      <c r="H98" s="18"/>
      <c r="I98" s="24" t="s">
        <v>327</v>
      </c>
      <c r="J98" s="24" t="s">
        <v>327</v>
      </c>
      <c r="K98" s="24" t="s">
        <v>327</v>
      </c>
      <c r="L98" s="24" t="s">
        <v>327</v>
      </c>
      <c r="M98" s="8"/>
    </row>
    <row r="99" spans="1:13" s="3" customFormat="1" ht="12" customHeight="1" x14ac:dyDescent="0.15">
      <c r="A99" s="30" t="s">
        <v>349</v>
      </c>
      <c r="B99" s="2"/>
      <c r="C99" s="6"/>
      <c r="D99" s="6"/>
      <c r="E99" s="6"/>
      <c r="F99" s="24" t="s">
        <v>327</v>
      </c>
      <c r="G99" s="24" t="s">
        <v>327</v>
      </c>
      <c r="H99" s="24" t="s">
        <v>327</v>
      </c>
      <c r="I99" s="24" t="s">
        <v>327</v>
      </c>
      <c r="J99" s="24" t="s">
        <v>327</v>
      </c>
      <c r="K99" s="24" t="s">
        <v>327</v>
      </c>
      <c r="L99" s="24" t="s">
        <v>327</v>
      </c>
      <c r="M99" s="8"/>
    </row>
    <row r="100" spans="1:13" s="3" customFormat="1" ht="12" customHeight="1" x14ac:dyDescent="0.15">
      <c r="A100" s="1" t="s">
        <v>530</v>
      </c>
      <c r="B100" s="2" t="s">
        <v>346</v>
      </c>
      <c r="C100" s="6">
        <v>15</v>
      </c>
      <c r="D100" s="2" t="s">
        <v>281</v>
      </c>
      <c r="E100" s="6">
        <v>1910</v>
      </c>
      <c r="F100" s="18">
        <v>3785</v>
      </c>
      <c r="G100" s="18"/>
      <c r="H100" s="18"/>
      <c r="I100" s="18"/>
      <c r="J100" s="24" t="s">
        <v>327</v>
      </c>
      <c r="K100" s="24" t="s">
        <v>327</v>
      </c>
      <c r="L100" s="24" t="s">
        <v>327</v>
      </c>
      <c r="M100" s="8"/>
    </row>
    <row r="101" spans="1:13" s="3" customFormat="1" ht="12" customHeight="1" x14ac:dyDescent="0.15">
      <c r="A101" s="1" t="s">
        <v>531</v>
      </c>
      <c r="B101" s="2" t="s">
        <v>346</v>
      </c>
      <c r="C101" s="6">
        <v>16</v>
      </c>
      <c r="D101" s="2" t="s">
        <v>281</v>
      </c>
      <c r="E101" s="6">
        <v>1920</v>
      </c>
      <c r="F101" s="18">
        <v>0</v>
      </c>
      <c r="G101" s="18"/>
      <c r="H101" s="18">
        <v>39323</v>
      </c>
      <c r="I101" s="18"/>
      <c r="J101" s="18"/>
      <c r="K101" s="24" t="s">
        <v>327</v>
      </c>
      <c r="L101" s="24" t="s">
        <v>327</v>
      </c>
      <c r="M101" s="8"/>
    </row>
    <row r="102" spans="1:13" s="3" customFormat="1" ht="12" customHeight="1" x14ac:dyDescent="0.15">
      <c r="A102" s="1" t="s">
        <v>388</v>
      </c>
      <c r="B102" s="2" t="s">
        <v>346</v>
      </c>
      <c r="C102" s="6">
        <v>17</v>
      </c>
      <c r="D102" s="2" t="s">
        <v>281</v>
      </c>
      <c r="E102" s="6">
        <v>1930</v>
      </c>
      <c r="F102" s="18"/>
      <c r="G102" s="18"/>
      <c r="H102" s="18"/>
      <c r="I102" s="24" t="s">
        <v>327</v>
      </c>
      <c r="J102" s="24" t="s">
        <v>327</v>
      </c>
      <c r="K102" s="24" t="s">
        <v>327</v>
      </c>
      <c r="L102" s="24" t="s">
        <v>327</v>
      </c>
      <c r="M102" s="8"/>
    </row>
    <row r="103" spans="1:13" s="3" customFormat="1" ht="12" customHeight="1" x14ac:dyDescent="0.15">
      <c r="A103" s="1" t="s">
        <v>616</v>
      </c>
      <c r="B103" s="2" t="s">
        <v>346</v>
      </c>
      <c r="C103" s="6">
        <v>18</v>
      </c>
      <c r="D103" s="2" t="s">
        <v>281</v>
      </c>
      <c r="E103" s="6">
        <v>1940</v>
      </c>
      <c r="F103" s="18"/>
      <c r="G103" s="24" t="s">
        <v>327</v>
      </c>
      <c r="H103" s="18"/>
      <c r="I103" s="24" t="s">
        <v>327</v>
      </c>
      <c r="J103" s="24" t="s">
        <v>327</v>
      </c>
      <c r="K103" s="24" t="s">
        <v>327</v>
      </c>
      <c r="L103" s="24" t="s">
        <v>327</v>
      </c>
      <c r="M103" s="8"/>
    </row>
    <row r="104" spans="1:13" s="3" customFormat="1" ht="12" customHeight="1" x14ac:dyDescent="0.15">
      <c r="A104" s="1" t="s">
        <v>617</v>
      </c>
      <c r="B104" s="2" t="s">
        <v>346</v>
      </c>
      <c r="C104" s="6">
        <v>19</v>
      </c>
      <c r="D104" s="2" t="s">
        <v>281</v>
      </c>
      <c r="E104" s="6">
        <v>1951</v>
      </c>
      <c r="F104" s="18"/>
      <c r="G104" s="18"/>
      <c r="H104" s="18"/>
      <c r="I104" s="24" t="s">
        <v>327</v>
      </c>
      <c r="J104" s="24" t="s">
        <v>327</v>
      </c>
      <c r="K104" s="24" t="s">
        <v>327</v>
      </c>
      <c r="L104" s="24" t="s">
        <v>327</v>
      </c>
      <c r="M104" s="8"/>
    </row>
    <row r="105" spans="1:13" s="3" customFormat="1" ht="12" customHeight="1" x14ac:dyDescent="0.15">
      <c r="A105" s="1" t="s">
        <v>618</v>
      </c>
      <c r="B105" s="2" t="s">
        <v>346</v>
      </c>
      <c r="C105" s="6">
        <v>20</v>
      </c>
      <c r="D105" s="2" t="s">
        <v>281</v>
      </c>
      <c r="E105" s="6">
        <v>1952</v>
      </c>
      <c r="F105" s="18"/>
      <c r="G105" s="18"/>
      <c r="H105" s="18"/>
      <c r="I105" s="24" t="s">
        <v>327</v>
      </c>
      <c r="J105" s="24" t="s">
        <v>327</v>
      </c>
      <c r="K105" s="24" t="s">
        <v>327</v>
      </c>
      <c r="L105" s="24" t="s">
        <v>327</v>
      </c>
      <c r="M105" s="8"/>
    </row>
    <row r="106" spans="1:13" s="3" customFormat="1" ht="12" customHeight="1" x14ac:dyDescent="0.15">
      <c r="A106" s="1" t="s">
        <v>534</v>
      </c>
      <c r="B106" s="2" t="s">
        <v>346</v>
      </c>
      <c r="C106" s="6">
        <v>21</v>
      </c>
      <c r="D106" s="2" t="s">
        <v>281</v>
      </c>
      <c r="E106" s="6">
        <v>1953</v>
      </c>
      <c r="F106" s="18"/>
      <c r="G106" s="18"/>
      <c r="H106" s="18"/>
      <c r="I106" s="18"/>
      <c r="J106" s="24" t="s">
        <v>327</v>
      </c>
      <c r="K106" s="24" t="s">
        <v>327</v>
      </c>
      <c r="L106" s="24" t="s">
        <v>327</v>
      </c>
      <c r="M106" s="8"/>
    </row>
    <row r="107" spans="1:13" s="3" customFormat="1" ht="12" customHeight="1" x14ac:dyDescent="0.15">
      <c r="A107" s="1" t="s">
        <v>619</v>
      </c>
      <c r="B107" s="2" t="s">
        <v>346</v>
      </c>
      <c r="C107" s="6">
        <v>22</v>
      </c>
      <c r="D107" s="2" t="s">
        <v>281</v>
      </c>
      <c r="E107" s="6">
        <v>1960</v>
      </c>
      <c r="F107" s="18"/>
      <c r="G107" s="18"/>
      <c r="H107" s="18"/>
      <c r="I107" s="18"/>
      <c r="J107" s="24" t="s">
        <v>327</v>
      </c>
      <c r="K107" s="24" t="s">
        <v>327</v>
      </c>
      <c r="L107" s="24" t="s">
        <v>327</v>
      </c>
      <c r="M107" s="8"/>
    </row>
    <row r="108" spans="1:13" s="3" customFormat="1" ht="12" customHeight="1" x14ac:dyDescent="0.15">
      <c r="A108" s="1" t="s">
        <v>535</v>
      </c>
      <c r="B108" s="2" t="s">
        <v>346</v>
      </c>
      <c r="C108" s="6">
        <v>23</v>
      </c>
      <c r="D108" s="2" t="s">
        <v>281</v>
      </c>
      <c r="E108" s="6">
        <v>1980</v>
      </c>
      <c r="F108" s="18">
        <v>6414</v>
      </c>
      <c r="G108" s="18"/>
      <c r="H108" s="18"/>
      <c r="I108" s="18"/>
      <c r="J108" s="24" t="s">
        <v>327</v>
      </c>
      <c r="K108" s="24" t="s">
        <v>327</v>
      </c>
      <c r="L108" s="24" t="s">
        <v>327</v>
      </c>
      <c r="M108" s="8"/>
    </row>
    <row r="109" spans="1:13" s="3" customFormat="1" ht="12" customHeight="1" thickBot="1" x14ac:dyDescent="0.2">
      <c r="A109" s="1" t="s">
        <v>536</v>
      </c>
      <c r="B109" s="2" t="s">
        <v>346</v>
      </c>
      <c r="C109" s="6">
        <v>24</v>
      </c>
      <c r="D109" s="2" t="s">
        <v>281</v>
      </c>
      <c r="E109" s="6">
        <v>1990</v>
      </c>
      <c r="F109" s="18">
        <v>47587</v>
      </c>
      <c r="G109" s="18"/>
      <c r="H109" s="18">
        <v>0</v>
      </c>
      <c r="I109" s="18"/>
      <c r="J109" s="18"/>
      <c r="K109" s="24" t="s">
        <v>327</v>
      </c>
      <c r="L109" s="24" t="s">
        <v>327</v>
      </c>
      <c r="M109" s="8"/>
    </row>
    <row r="110" spans="1:13" ht="12" customHeight="1" thickTop="1" thickBot="1" x14ac:dyDescent="0.25">
      <c r="A110" s="38" t="s">
        <v>284</v>
      </c>
      <c r="B110" s="39" t="s">
        <v>346</v>
      </c>
      <c r="C110" s="40">
        <v>25</v>
      </c>
      <c r="D110" s="39" t="s">
        <v>281</v>
      </c>
      <c r="E110" s="40"/>
      <c r="F110" s="41">
        <f>SUM(F95:F109)</f>
        <v>97496</v>
      </c>
      <c r="G110" s="41">
        <f>SUM(G95:G109)</f>
        <v>219059</v>
      </c>
      <c r="H110" s="41">
        <f>SUM(H95:H109)</f>
        <v>39323</v>
      </c>
      <c r="I110" s="41">
        <f>SUM(I95:I109)</f>
        <v>0</v>
      </c>
      <c r="J110" s="41">
        <f>SUM(J95:J109)</f>
        <v>738</v>
      </c>
      <c r="K110" s="45" t="s">
        <v>327</v>
      </c>
      <c r="L110" s="45" t="s">
        <v>327</v>
      </c>
    </row>
    <row r="111" spans="1:13" s="3" customFormat="1" ht="12" customHeight="1" thickTop="1" x14ac:dyDescent="0.15">
      <c r="A111" s="38" t="s">
        <v>431</v>
      </c>
      <c r="B111" s="39" t="s">
        <v>346</v>
      </c>
      <c r="C111" s="40">
        <v>26</v>
      </c>
      <c r="D111" s="39" t="s">
        <v>281</v>
      </c>
      <c r="E111" s="40">
        <v>1000</v>
      </c>
      <c r="F111" s="41">
        <f>F59+F78+F93+F110</f>
        <v>11248737</v>
      </c>
      <c r="G111" s="41">
        <f>G59+G110</f>
        <v>219059</v>
      </c>
      <c r="H111" s="41">
        <f>H59+H78+H93+H110</f>
        <v>39323</v>
      </c>
      <c r="I111" s="41">
        <f>I59+I110</f>
        <v>0</v>
      </c>
      <c r="J111" s="41">
        <f>J59+J110</f>
        <v>738</v>
      </c>
      <c r="K111" s="45" t="s">
        <v>327</v>
      </c>
      <c r="L111" s="45" t="s">
        <v>327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312</v>
      </c>
      <c r="G112" s="23" t="s">
        <v>313</v>
      </c>
      <c r="H112" s="23" t="s">
        <v>314</v>
      </c>
      <c r="I112" s="23" t="s">
        <v>315</v>
      </c>
      <c r="J112" s="23" t="s">
        <v>316</v>
      </c>
      <c r="K112" s="20"/>
      <c r="L112" s="20"/>
      <c r="M112" s="8"/>
    </row>
    <row r="113" spans="1:13" s="3" customFormat="1" ht="12" customHeight="1" x14ac:dyDescent="0.2">
      <c r="A113" s="29" t="s">
        <v>350</v>
      </c>
      <c r="H113" s="23" t="s">
        <v>321</v>
      </c>
      <c r="K113" s="20"/>
      <c r="L113" s="20"/>
      <c r="M113" s="8"/>
    </row>
    <row r="114" spans="1:13" s="3" customFormat="1" ht="12" customHeight="1" x14ac:dyDescent="0.2">
      <c r="A114" s="28" t="s">
        <v>351</v>
      </c>
      <c r="F114" s="16" t="s">
        <v>319</v>
      </c>
      <c r="G114" s="14" t="s">
        <v>320</v>
      </c>
      <c r="H114" s="16" t="s">
        <v>788</v>
      </c>
      <c r="I114" s="16" t="s">
        <v>322</v>
      </c>
      <c r="J114" s="16" t="s">
        <v>323</v>
      </c>
      <c r="K114" s="20"/>
      <c r="L114" s="20"/>
      <c r="M114" s="8"/>
    </row>
    <row r="115" spans="1:13" s="3" customFormat="1" ht="12" customHeight="1" x14ac:dyDescent="0.15">
      <c r="A115" s="30" t="s">
        <v>354</v>
      </c>
      <c r="B115" s="7"/>
      <c r="C115" s="7"/>
      <c r="D115" s="7"/>
      <c r="E115" s="7"/>
      <c r="F115" s="24" t="s">
        <v>327</v>
      </c>
      <c r="G115" s="24" t="s">
        <v>327</v>
      </c>
      <c r="H115" s="24" t="s">
        <v>327</v>
      </c>
      <c r="I115" s="24" t="s">
        <v>327</v>
      </c>
      <c r="J115" s="24" t="s">
        <v>327</v>
      </c>
      <c r="K115" s="24" t="s">
        <v>327</v>
      </c>
      <c r="L115" s="24" t="s">
        <v>327</v>
      </c>
      <c r="M115" s="8"/>
    </row>
    <row r="116" spans="1:13" s="3" customFormat="1" ht="12" customHeight="1" x14ac:dyDescent="0.15">
      <c r="A116" s="1" t="s">
        <v>911</v>
      </c>
      <c r="B116" s="2" t="s">
        <v>352</v>
      </c>
      <c r="C116" s="6">
        <v>1</v>
      </c>
      <c r="D116" s="2" t="s">
        <v>281</v>
      </c>
      <c r="E116" s="6">
        <v>3111</v>
      </c>
      <c r="F116" s="18">
        <v>2085888</v>
      </c>
      <c r="G116" s="24" t="s">
        <v>327</v>
      </c>
      <c r="H116" s="24" t="s">
        <v>327</v>
      </c>
      <c r="I116" s="24" t="s">
        <v>327</v>
      </c>
      <c r="J116" s="24" t="s">
        <v>327</v>
      </c>
      <c r="K116" s="24" t="s">
        <v>327</v>
      </c>
      <c r="L116" s="24" t="s">
        <v>327</v>
      </c>
      <c r="M116" s="8"/>
    </row>
    <row r="117" spans="1:13" s="3" customFormat="1" ht="12" customHeight="1" x14ac:dyDescent="0.15">
      <c r="A117" s="1" t="s">
        <v>789</v>
      </c>
      <c r="B117" s="2" t="s">
        <v>352</v>
      </c>
      <c r="C117" s="6">
        <v>2</v>
      </c>
      <c r="D117" s="2" t="s">
        <v>281</v>
      </c>
      <c r="E117" s="6">
        <v>3112</v>
      </c>
      <c r="F117" s="18">
        <v>1515831</v>
      </c>
      <c r="G117" s="24" t="s">
        <v>327</v>
      </c>
      <c r="H117" s="24" t="s">
        <v>327</v>
      </c>
      <c r="I117" s="24" t="s">
        <v>327</v>
      </c>
      <c r="J117" s="24" t="s">
        <v>327</v>
      </c>
      <c r="K117" s="24" t="s">
        <v>327</v>
      </c>
      <c r="L117" s="24" t="s">
        <v>327</v>
      </c>
      <c r="M117" s="8"/>
    </row>
    <row r="118" spans="1:13" s="3" customFormat="1" ht="12" customHeight="1" x14ac:dyDescent="0.15">
      <c r="A118" s="3" t="s">
        <v>912</v>
      </c>
      <c r="B118" s="2" t="s">
        <v>352</v>
      </c>
      <c r="C118" s="6">
        <v>3</v>
      </c>
      <c r="D118" s="2" t="s">
        <v>281</v>
      </c>
      <c r="E118" s="6">
        <v>3119</v>
      </c>
      <c r="F118" s="18">
        <v>1807</v>
      </c>
      <c r="G118" s="24" t="s">
        <v>327</v>
      </c>
      <c r="H118" s="24" t="s">
        <v>327</v>
      </c>
      <c r="I118" s="24" t="s">
        <v>327</v>
      </c>
      <c r="J118" s="24" t="s">
        <v>327</v>
      </c>
      <c r="K118" s="24" t="s">
        <v>327</v>
      </c>
      <c r="L118" s="24" t="s">
        <v>327</v>
      </c>
      <c r="M118" s="8"/>
    </row>
    <row r="119" spans="1:13" s="3" customFormat="1" ht="12" customHeight="1" thickBot="1" x14ac:dyDescent="0.2">
      <c r="A119" s="3" t="s">
        <v>527</v>
      </c>
      <c r="B119" s="2" t="s">
        <v>352</v>
      </c>
      <c r="C119" s="6">
        <v>4</v>
      </c>
      <c r="D119" s="2" t="s">
        <v>281</v>
      </c>
      <c r="E119" s="6">
        <v>3190</v>
      </c>
      <c r="F119" s="18"/>
      <c r="G119" s="18"/>
      <c r="H119" s="18"/>
      <c r="I119" s="18"/>
      <c r="J119" s="18"/>
      <c r="K119" s="24" t="s">
        <v>327</v>
      </c>
      <c r="L119" s="24" t="s">
        <v>327</v>
      </c>
      <c r="M119" s="8"/>
    </row>
    <row r="120" spans="1:13" s="3" customFormat="1" ht="12" customHeight="1" thickTop="1" x14ac:dyDescent="0.15">
      <c r="A120" s="38" t="s">
        <v>677</v>
      </c>
      <c r="B120" s="39" t="s">
        <v>352</v>
      </c>
      <c r="C120" s="40">
        <v>5</v>
      </c>
      <c r="D120" s="39" t="s">
        <v>281</v>
      </c>
      <c r="E120" s="40">
        <v>3100</v>
      </c>
      <c r="F120" s="41">
        <f>SUM(F116:F119)</f>
        <v>3603526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327</v>
      </c>
      <c r="L120" s="45" t="s">
        <v>327</v>
      </c>
      <c r="M120" s="8"/>
    </row>
    <row r="121" spans="1:13" s="3" customFormat="1" ht="12" customHeight="1" x14ac:dyDescent="0.15">
      <c r="A121" s="30" t="s">
        <v>356</v>
      </c>
      <c r="F121" s="24" t="s">
        <v>327</v>
      </c>
      <c r="G121" s="24" t="s">
        <v>327</v>
      </c>
      <c r="H121" s="24" t="s">
        <v>327</v>
      </c>
      <c r="I121" s="24" t="s">
        <v>327</v>
      </c>
      <c r="J121" s="24" t="s">
        <v>327</v>
      </c>
      <c r="K121" s="24" t="s">
        <v>327</v>
      </c>
      <c r="L121" s="24" t="s">
        <v>327</v>
      </c>
      <c r="M121" s="8"/>
    </row>
    <row r="122" spans="1:13" s="3" customFormat="1" ht="12" customHeight="1" x14ac:dyDescent="0.15">
      <c r="A122" s="1" t="s">
        <v>372</v>
      </c>
      <c r="B122" s="2" t="s">
        <v>352</v>
      </c>
      <c r="C122" s="6">
        <v>6</v>
      </c>
      <c r="D122" s="2" t="s">
        <v>281</v>
      </c>
      <c r="E122" s="6">
        <v>3210</v>
      </c>
      <c r="F122" s="18">
        <v>141126</v>
      </c>
      <c r="G122" s="24" t="s">
        <v>327</v>
      </c>
      <c r="H122" s="24" t="s">
        <v>327</v>
      </c>
      <c r="I122" s="18"/>
      <c r="J122" s="24" t="s">
        <v>327</v>
      </c>
      <c r="K122" s="24" t="s">
        <v>327</v>
      </c>
      <c r="L122" s="24" t="s">
        <v>327</v>
      </c>
      <c r="M122" s="8"/>
    </row>
    <row r="123" spans="1:13" s="3" customFormat="1" ht="12" customHeight="1" x14ac:dyDescent="0.15">
      <c r="A123" s="1" t="s">
        <v>373</v>
      </c>
      <c r="B123" s="2" t="s">
        <v>352</v>
      </c>
      <c r="C123" s="6">
        <v>7</v>
      </c>
      <c r="D123" s="2" t="s">
        <v>281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374</v>
      </c>
      <c r="B124" s="2" t="s">
        <v>352</v>
      </c>
      <c r="C124" s="6">
        <v>8</v>
      </c>
      <c r="D124" s="2" t="s">
        <v>281</v>
      </c>
      <c r="E124" s="6">
        <v>3220</v>
      </c>
      <c r="F124" s="18"/>
      <c r="G124" s="24" t="s">
        <v>327</v>
      </c>
      <c r="H124" s="24" t="s">
        <v>327</v>
      </c>
      <c r="I124" s="24" t="s">
        <v>327</v>
      </c>
      <c r="J124" s="24" t="s">
        <v>327</v>
      </c>
      <c r="K124" s="24" t="s">
        <v>327</v>
      </c>
      <c r="L124" s="24" t="s">
        <v>327</v>
      </c>
      <c r="M124" s="8"/>
    </row>
    <row r="125" spans="1:13" s="3" customFormat="1" ht="12" customHeight="1" x14ac:dyDescent="0.15">
      <c r="A125" s="1" t="s">
        <v>375</v>
      </c>
      <c r="B125" s="2" t="s">
        <v>352</v>
      </c>
      <c r="C125" s="6">
        <v>9</v>
      </c>
      <c r="D125" s="2" t="s">
        <v>281</v>
      </c>
      <c r="E125" s="6">
        <v>3230</v>
      </c>
      <c r="F125" s="18">
        <v>0</v>
      </c>
      <c r="G125" s="24" t="s">
        <v>327</v>
      </c>
      <c r="H125" s="24" t="s">
        <v>327</v>
      </c>
      <c r="I125" s="24" t="s">
        <v>327</v>
      </c>
      <c r="J125" s="24" t="s">
        <v>327</v>
      </c>
      <c r="K125" s="24" t="s">
        <v>327</v>
      </c>
      <c r="L125" s="24" t="s">
        <v>327</v>
      </c>
      <c r="M125" s="8"/>
    </row>
    <row r="126" spans="1:13" s="3" customFormat="1" ht="12" customHeight="1" x14ac:dyDescent="0.15">
      <c r="A126" s="1" t="s">
        <v>746</v>
      </c>
      <c r="B126" s="2" t="s">
        <v>352</v>
      </c>
      <c r="C126" s="6">
        <v>10</v>
      </c>
      <c r="D126" s="2" t="s">
        <v>281</v>
      </c>
      <c r="E126" s="6">
        <v>3241</v>
      </c>
      <c r="F126" s="18"/>
      <c r="G126" s="24" t="s">
        <v>327</v>
      </c>
      <c r="H126" s="18"/>
      <c r="I126" s="24" t="s">
        <v>327</v>
      </c>
      <c r="J126" s="24" t="s">
        <v>327</v>
      </c>
      <c r="K126" s="24" t="s">
        <v>327</v>
      </c>
      <c r="L126" s="24" t="s">
        <v>327</v>
      </c>
      <c r="M126" s="8"/>
    </row>
    <row r="127" spans="1:13" s="3" customFormat="1" ht="12" customHeight="1" x14ac:dyDescent="0.15">
      <c r="A127" s="1" t="s">
        <v>622</v>
      </c>
      <c r="B127" s="2" t="s">
        <v>352</v>
      </c>
      <c r="C127" s="6">
        <v>11</v>
      </c>
      <c r="D127" s="2" t="s">
        <v>281</v>
      </c>
      <c r="E127" s="6">
        <v>3242</v>
      </c>
      <c r="F127" s="18">
        <v>4696</v>
      </c>
      <c r="G127" s="24" t="s">
        <v>327</v>
      </c>
      <c r="H127" s="18"/>
      <c r="I127" s="24" t="s">
        <v>327</v>
      </c>
      <c r="J127" s="24" t="s">
        <v>327</v>
      </c>
      <c r="K127" s="24" t="s">
        <v>327</v>
      </c>
      <c r="L127" s="24" t="s">
        <v>327</v>
      </c>
      <c r="M127" s="8"/>
    </row>
    <row r="128" spans="1:13" s="3" customFormat="1" ht="12" customHeight="1" x14ac:dyDescent="0.15">
      <c r="A128" s="1" t="s">
        <v>623</v>
      </c>
      <c r="B128" s="2" t="s">
        <v>352</v>
      </c>
      <c r="C128" s="6">
        <v>12</v>
      </c>
      <c r="D128" s="2" t="s">
        <v>281</v>
      </c>
      <c r="E128" s="6">
        <v>3243</v>
      </c>
      <c r="F128" s="18"/>
      <c r="G128" s="24" t="s">
        <v>327</v>
      </c>
      <c r="H128" s="18"/>
      <c r="I128" s="24" t="s">
        <v>327</v>
      </c>
      <c r="J128" s="24" t="s">
        <v>327</v>
      </c>
      <c r="K128" s="24" t="s">
        <v>327</v>
      </c>
      <c r="L128" s="24" t="s">
        <v>327</v>
      </c>
      <c r="M128" s="8"/>
    </row>
    <row r="129" spans="1:13" s="3" customFormat="1" ht="12" customHeight="1" x14ac:dyDescent="0.15">
      <c r="A129" s="1" t="s">
        <v>624</v>
      </c>
      <c r="B129" s="2" t="s">
        <v>352</v>
      </c>
      <c r="C129" s="6">
        <v>13</v>
      </c>
      <c r="D129" s="2" t="s">
        <v>281</v>
      </c>
      <c r="E129" s="6">
        <v>3249</v>
      </c>
      <c r="F129" s="18"/>
      <c r="G129" s="24" t="s">
        <v>327</v>
      </c>
      <c r="H129" s="18"/>
      <c r="I129" s="24" t="s">
        <v>327</v>
      </c>
      <c r="J129" s="24" t="s">
        <v>327</v>
      </c>
      <c r="K129" s="24" t="s">
        <v>327</v>
      </c>
      <c r="L129" s="24" t="s">
        <v>327</v>
      </c>
      <c r="M129" s="8"/>
    </row>
    <row r="130" spans="1:13" s="3" customFormat="1" ht="12" customHeight="1" x14ac:dyDescent="0.15">
      <c r="A130" s="1" t="s">
        <v>360</v>
      </c>
      <c r="B130" s="2" t="s">
        <v>352</v>
      </c>
      <c r="C130" s="6">
        <v>14</v>
      </c>
      <c r="D130" s="2" t="s">
        <v>281</v>
      </c>
      <c r="E130" s="6">
        <v>3250</v>
      </c>
      <c r="F130" s="18"/>
      <c r="G130" s="24" t="s">
        <v>327</v>
      </c>
      <c r="H130" s="18"/>
      <c r="I130" s="24" t="s">
        <v>327</v>
      </c>
      <c r="J130" s="24" t="s">
        <v>327</v>
      </c>
      <c r="K130" s="24" t="s">
        <v>327</v>
      </c>
      <c r="L130" s="24" t="s">
        <v>327</v>
      </c>
      <c r="M130" s="8"/>
    </row>
    <row r="131" spans="1:13" s="3" customFormat="1" ht="12" customHeight="1" x14ac:dyDescent="0.15">
      <c r="A131" s="1" t="s">
        <v>376</v>
      </c>
      <c r="B131" s="2" t="s">
        <v>352</v>
      </c>
      <c r="C131" s="6">
        <v>15</v>
      </c>
      <c r="D131" s="2" t="s">
        <v>281</v>
      </c>
      <c r="E131" s="6">
        <v>3260</v>
      </c>
      <c r="F131" s="24" t="s">
        <v>327</v>
      </c>
      <c r="G131" s="18">
        <f>2730+888</f>
        <v>3618</v>
      </c>
      <c r="H131" s="24" t="s">
        <v>327</v>
      </c>
      <c r="I131" s="24" t="s">
        <v>327</v>
      </c>
      <c r="J131" s="24" t="s">
        <v>327</v>
      </c>
      <c r="K131" s="24" t="s">
        <v>327</v>
      </c>
      <c r="L131" s="24" t="s">
        <v>327</v>
      </c>
      <c r="M131" s="8"/>
    </row>
    <row r="132" spans="1:13" s="3" customFormat="1" ht="12" customHeight="1" x14ac:dyDescent="0.15">
      <c r="A132" s="1" t="s">
        <v>524</v>
      </c>
      <c r="B132" s="2" t="s">
        <v>352</v>
      </c>
      <c r="C132" s="6">
        <v>16</v>
      </c>
      <c r="D132" s="2" t="s">
        <v>281</v>
      </c>
      <c r="E132" s="6">
        <v>3270</v>
      </c>
      <c r="F132" s="18">
        <v>2400</v>
      </c>
      <c r="G132" s="24" t="s">
        <v>327</v>
      </c>
      <c r="H132" s="18"/>
      <c r="I132" s="24" t="s">
        <v>327</v>
      </c>
      <c r="J132" s="24" t="s">
        <v>327</v>
      </c>
      <c r="K132" s="24" t="s">
        <v>327</v>
      </c>
      <c r="L132" s="24" t="s">
        <v>327</v>
      </c>
      <c r="M132" s="8"/>
    </row>
    <row r="133" spans="1:13" s="3" customFormat="1" ht="12" customHeight="1" x14ac:dyDescent="0.15">
      <c r="A133" s="1" t="s">
        <v>525</v>
      </c>
      <c r="B133" s="6">
        <v>4</v>
      </c>
      <c r="C133" s="6">
        <v>17</v>
      </c>
      <c r="D133" s="2"/>
      <c r="E133" s="6">
        <v>3280</v>
      </c>
      <c r="F133" s="24" t="s">
        <v>327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526</v>
      </c>
      <c r="B134" s="2" t="s">
        <v>352</v>
      </c>
      <c r="C134" s="6">
        <v>18</v>
      </c>
      <c r="D134" s="2" t="s">
        <v>281</v>
      </c>
      <c r="E134" s="6">
        <v>3290</v>
      </c>
      <c r="F134" s="18">
        <v>1856</v>
      </c>
      <c r="G134" s="18"/>
      <c r="H134" s="18">
        <v>1920</v>
      </c>
      <c r="I134" s="18"/>
      <c r="J134" s="18"/>
      <c r="K134" s="24" t="s">
        <v>327</v>
      </c>
      <c r="L134" s="24" t="s">
        <v>327</v>
      </c>
      <c r="M134" s="8"/>
    </row>
    <row r="135" spans="1:13" s="3" customFormat="1" ht="12" customHeight="1" thickTop="1" x14ac:dyDescent="0.15">
      <c r="A135" s="38" t="s">
        <v>285</v>
      </c>
      <c r="B135" s="39" t="s">
        <v>352</v>
      </c>
      <c r="C135" s="40">
        <v>19</v>
      </c>
      <c r="D135" s="39" t="s">
        <v>281</v>
      </c>
      <c r="E135" s="40">
        <v>3200</v>
      </c>
      <c r="F135" s="41">
        <f>SUM(F122:F134)</f>
        <v>150078</v>
      </c>
      <c r="G135" s="41">
        <f>SUM(G122:G134)</f>
        <v>3618</v>
      </c>
      <c r="H135" s="41">
        <f>SUM(H122:H134)</f>
        <v>1920</v>
      </c>
      <c r="I135" s="41">
        <f>SUM(I122:I134)</f>
        <v>0</v>
      </c>
      <c r="J135" s="41">
        <f>SUM(J122:J134)</f>
        <v>0</v>
      </c>
      <c r="K135" s="45" t="s">
        <v>327</v>
      </c>
      <c r="L135" s="45" t="s">
        <v>327</v>
      </c>
      <c r="M135" s="8"/>
    </row>
    <row r="136" spans="1:13" s="3" customFormat="1" ht="12" customHeight="1" x14ac:dyDescent="0.15">
      <c r="A136" s="3" t="s">
        <v>353</v>
      </c>
      <c r="B136" s="1" t="s">
        <v>352</v>
      </c>
      <c r="C136" s="6">
        <v>20</v>
      </c>
      <c r="D136" s="2" t="s">
        <v>281</v>
      </c>
      <c r="E136" s="6">
        <v>3700</v>
      </c>
      <c r="F136" s="18"/>
      <c r="G136" s="18"/>
      <c r="H136" s="18"/>
      <c r="I136" s="24" t="s">
        <v>327</v>
      </c>
      <c r="J136" s="24" t="s">
        <v>327</v>
      </c>
      <c r="K136" s="24" t="s">
        <v>327</v>
      </c>
      <c r="L136" s="24" t="s">
        <v>327</v>
      </c>
      <c r="M136" s="8"/>
    </row>
    <row r="137" spans="1:13" s="3" customFormat="1" ht="12" customHeight="1" x14ac:dyDescent="0.15">
      <c r="A137" s="1" t="s">
        <v>494</v>
      </c>
      <c r="B137" s="1" t="s">
        <v>352</v>
      </c>
      <c r="C137" s="6">
        <v>21</v>
      </c>
      <c r="D137" s="2" t="s">
        <v>281</v>
      </c>
      <c r="E137" s="6">
        <v>3800</v>
      </c>
      <c r="F137" s="18"/>
      <c r="G137" s="24" t="s">
        <v>327</v>
      </c>
      <c r="H137" s="18"/>
      <c r="I137" s="24" t="s">
        <v>327</v>
      </c>
      <c r="J137" s="24" t="s">
        <v>327</v>
      </c>
      <c r="K137" s="24" t="s">
        <v>327</v>
      </c>
      <c r="L137" s="24" t="s">
        <v>327</v>
      </c>
      <c r="M137" s="8"/>
    </row>
    <row r="138" spans="1:13" s="3" customFormat="1" ht="12" customHeight="1" thickBot="1" x14ac:dyDescent="0.2">
      <c r="A138" s="1" t="s">
        <v>495</v>
      </c>
      <c r="B138" s="1" t="s">
        <v>352</v>
      </c>
      <c r="C138" s="6">
        <v>22</v>
      </c>
      <c r="D138" s="2" t="s">
        <v>281</v>
      </c>
      <c r="E138" s="6">
        <v>3900</v>
      </c>
      <c r="F138" s="24" t="s">
        <v>327</v>
      </c>
      <c r="G138" s="24" t="s">
        <v>327</v>
      </c>
      <c r="H138" s="24" t="s">
        <v>327</v>
      </c>
      <c r="I138" s="24" t="s">
        <v>327</v>
      </c>
      <c r="J138" s="24" t="s">
        <v>327</v>
      </c>
      <c r="K138" s="24" t="s">
        <v>327</v>
      </c>
      <c r="L138" s="24" t="s">
        <v>327</v>
      </c>
      <c r="M138" s="8"/>
    </row>
    <row r="139" spans="1:13" s="3" customFormat="1" ht="12" customHeight="1" thickTop="1" x14ac:dyDescent="0.15">
      <c r="A139" s="38" t="s">
        <v>432</v>
      </c>
      <c r="B139" s="39" t="s">
        <v>352</v>
      </c>
      <c r="C139" s="40">
        <v>23</v>
      </c>
      <c r="D139" s="39" t="s">
        <v>281</v>
      </c>
      <c r="E139" s="40">
        <v>3000</v>
      </c>
      <c r="F139" s="41">
        <f>F120+SUM(F135:F138)</f>
        <v>3753604</v>
      </c>
      <c r="G139" s="41">
        <f>G120+SUM(G135:G136)</f>
        <v>3618</v>
      </c>
      <c r="H139" s="41">
        <f>H120+SUM(H135:H138)</f>
        <v>1920</v>
      </c>
      <c r="I139" s="41">
        <f>I120+I135</f>
        <v>0</v>
      </c>
      <c r="J139" s="41">
        <f>J120+J135</f>
        <v>0</v>
      </c>
      <c r="K139" s="45" t="s">
        <v>327</v>
      </c>
      <c r="L139" s="45" t="s">
        <v>327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312</v>
      </c>
      <c r="G140" s="23" t="s">
        <v>313</v>
      </c>
      <c r="H140" s="23" t="s">
        <v>314</v>
      </c>
      <c r="I140" s="23" t="s">
        <v>315</v>
      </c>
      <c r="J140" s="23" t="s">
        <v>316</v>
      </c>
      <c r="K140" s="20"/>
      <c r="L140" s="20"/>
      <c r="M140" s="8"/>
    </row>
    <row r="141" spans="1:13" s="3" customFormat="1" ht="12" customHeight="1" x14ac:dyDescent="0.2">
      <c r="A141" s="29" t="s">
        <v>350</v>
      </c>
      <c r="F141" s="23"/>
      <c r="G141" s="23"/>
      <c r="H141" s="16" t="s">
        <v>321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612</v>
      </c>
      <c r="F142" s="16" t="s">
        <v>319</v>
      </c>
      <c r="G142" s="16" t="s">
        <v>320</v>
      </c>
      <c r="H142" s="225" t="s">
        <v>788</v>
      </c>
      <c r="I142" s="16" t="s">
        <v>322</v>
      </c>
      <c r="J142" s="16" t="s">
        <v>323</v>
      </c>
      <c r="K142" s="20"/>
      <c r="L142" s="20"/>
      <c r="M142" s="8"/>
    </row>
    <row r="143" spans="1:13" s="3" customFormat="1" ht="12" customHeight="1" x14ac:dyDescent="0.15">
      <c r="A143" s="30" t="s">
        <v>354</v>
      </c>
      <c r="F143" s="24" t="s">
        <v>327</v>
      </c>
      <c r="G143" s="24" t="s">
        <v>327</v>
      </c>
      <c r="H143" s="24" t="s">
        <v>327</v>
      </c>
      <c r="I143" s="24" t="s">
        <v>327</v>
      </c>
      <c r="J143" s="24" t="s">
        <v>327</v>
      </c>
      <c r="K143" s="24" t="s">
        <v>327</v>
      </c>
      <c r="L143" s="24" t="s">
        <v>327</v>
      </c>
      <c r="M143" s="8"/>
    </row>
    <row r="144" spans="1:13" s="3" customFormat="1" ht="12" customHeight="1" x14ac:dyDescent="0.15">
      <c r="A144" s="1" t="s">
        <v>631</v>
      </c>
      <c r="B144" s="2" t="s">
        <v>355</v>
      </c>
      <c r="C144" s="6">
        <v>1</v>
      </c>
      <c r="D144" s="2" t="s">
        <v>281</v>
      </c>
      <c r="E144" s="6">
        <v>4100</v>
      </c>
      <c r="F144" s="18"/>
      <c r="G144" s="18"/>
      <c r="H144" s="18"/>
      <c r="I144" s="18"/>
      <c r="J144" s="24" t="s">
        <v>327</v>
      </c>
      <c r="K144" s="24" t="s">
        <v>327</v>
      </c>
      <c r="L144" s="24" t="s">
        <v>327</v>
      </c>
      <c r="M144" s="8"/>
    </row>
    <row r="145" spans="1:13" s="3" customFormat="1" ht="12" customHeight="1" thickBot="1" x14ac:dyDescent="0.2">
      <c r="A145" s="1" t="s">
        <v>630</v>
      </c>
      <c r="B145" s="2" t="s">
        <v>355</v>
      </c>
      <c r="C145" s="6">
        <v>2</v>
      </c>
      <c r="D145" s="2" t="s">
        <v>281</v>
      </c>
      <c r="E145" s="6">
        <v>4200</v>
      </c>
      <c r="F145" s="18"/>
      <c r="G145" s="18"/>
      <c r="H145" s="18"/>
      <c r="I145" s="18"/>
      <c r="J145" s="24" t="s">
        <v>327</v>
      </c>
      <c r="K145" s="24" t="s">
        <v>327</v>
      </c>
      <c r="L145" s="24" t="s">
        <v>327</v>
      </c>
      <c r="M145" s="8"/>
    </row>
    <row r="146" spans="1:13" s="3" customFormat="1" ht="12" customHeight="1" thickTop="1" x14ac:dyDescent="0.15">
      <c r="A146" s="38" t="s">
        <v>286</v>
      </c>
      <c r="B146" s="39" t="s">
        <v>355</v>
      </c>
      <c r="C146" s="40">
        <v>3</v>
      </c>
      <c r="D146" s="39" t="s">
        <v>281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327</v>
      </c>
      <c r="K146" s="45" t="s">
        <v>327</v>
      </c>
      <c r="L146" s="45" t="s">
        <v>327</v>
      </c>
      <c r="M146" s="8"/>
    </row>
    <row r="147" spans="1:13" s="3" customFormat="1" ht="12" customHeight="1" x14ac:dyDescent="0.15">
      <c r="A147" s="30" t="s">
        <v>356</v>
      </c>
      <c r="B147" s="2"/>
      <c r="C147" s="2"/>
      <c r="D147" s="2"/>
      <c r="E147" s="2"/>
      <c r="F147" s="24" t="s">
        <v>327</v>
      </c>
      <c r="G147" s="24" t="s">
        <v>327</v>
      </c>
      <c r="H147" s="24" t="s">
        <v>327</v>
      </c>
      <c r="I147" s="24" t="s">
        <v>327</v>
      </c>
      <c r="J147" s="24" t="s">
        <v>327</v>
      </c>
      <c r="K147" s="24" t="s">
        <v>327</v>
      </c>
      <c r="L147" s="24" t="s">
        <v>327</v>
      </c>
      <c r="M147" s="8"/>
    </row>
    <row r="148" spans="1:13" s="3" customFormat="1" ht="12" customHeight="1" x14ac:dyDescent="0.15">
      <c r="A148" s="1" t="s">
        <v>632</v>
      </c>
      <c r="C148" s="1" t="s">
        <v>357</v>
      </c>
      <c r="D148" s="1"/>
      <c r="E148" s="6">
        <v>4300</v>
      </c>
      <c r="F148" s="24" t="s">
        <v>327</v>
      </c>
      <c r="G148" s="24" t="s">
        <v>327</v>
      </c>
      <c r="H148" s="24" t="s">
        <v>327</v>
      </c>
      <c r="I148" s="24" t="s">
        <v>327</v>
      </c>
      <c r="J148" s="24" t="s">
        <v>327</v>
      </c>
      <c r="K148" s="24" t="s">
        <v>327</v>
      </c>
      <c r="L148" s="24" t="s">
        <v>327</v>
      </c>
      <c r="M148" s="8"/>
    </row>
    <row r="149" spans="1:13" s="3" customFormat="1" ht="12" customHeight="1" x14ac:dyDescent="0.15">
      <c r="A149" s="3" t="s">
        <v>678</v>
      </c>
      <c r="B149" s="2" t="s">
        <v>355</v>
      </c>
      <c r="C149" s="6">
        <v>4</v>
      </c>
      <c r="D149" s="2" t="s">
        <v>281</v>
      </c>
      <c r="E149" s="6">
        <v>4310</v>
      </c>
      <c r="F149" s="18"/>
      <c r="G149" s="24" t="s">
        <v>327</v>
      </c>
      <c r="H149" s="18"/>
      <c r="I149" s="18"/>
      <c r="J149" s="24" t="s">
        <v>327</v>
      </c>
      <c r="K149" s="24" t="s">
        <v>327</v>
      </c>
      <c r="L149" s="24" t="s">
        <v>327</v>
      </c>
      <c r="M149" s="8"/>
    </row>
    <row r="150" spans="1:13" s="3" customFormat="1" ht="12" customHeight="1" x14ac:dyDescent="0.15">
      <c r="A150" s="1" t="s">
        <v>359</v>
      </c>
      <c r="B150" s="2" t="s">
        <v>355</v>
      </c>
      <c r="C150" s="6">
        <v>5</v>
      </c>
      <c r="D150" s="2" t="s">
        <v>281</v>
      </c>
      <c r="E150" s="6">
        <v>4330</v>
      </c>
      <c r="F150" s="18"/>
      <c r="G150" s="24" t="s">
        <v>327</v>
      </c>
      <c r="H150" s="18"/>
      <c r="I150" s="18"/>
      <c r="J150" s="24" t="s">
        <v>327</v>
      </c>
      <c r="K150" s="24" t="s">
        <v>327</v>
      </c>
      <c r="L150" s="24" t="s">
        <v>327</v>
      </c>
      <c r="M150" s="8"/>
    </row>
    <row r="151" spans="1:13" s="3" customFormat="1" ht="12" customHeight="1" x14ac:dyDescent="0.15">
      <c r="A151" s="1" t="s">
        <v>511</v>
      </c>
      <c r="B151" s="2" t="s">
        <v>355</v>
      </c>
      <c r="C151" s="6">
        <v>6</v>
      </c>
      <c r="D151" s="2" t="s">
        <v>281</v>
      </c>
      <c r="E151" s="6">
        <v>4350</v>
      </c>
      <c r="F151" s="18"/>
      <c r="G151" s="24" t="s">
        <v>327</v>
      </c>
      <c r="H151" s="18"/>
      <c r="I151" s="18"/>
      <c r="J151" s="24" t="s">
        <v>327</v>
      </c>
      <c r="K151" s="24" t="s">
        <v>327</v>
      </c>
      <c r="L151" s="24" t="s">
        <v>327</v>
      </c>
      <c r="M151" s="8"/>
    </row>
    <row r="152" spans="1:13" s="3" customFormat="1" ht="12" customHeight="1" x14ac:dyDescent="0.15">
      <c r="A152" s="1" t="s">
        <v>512</v>
      </c>
      <c r="B152" s="2"/>
      <c r="C152" s="6"/>
      <c r="D152" s="6"/>
      <c r="E152" s="6">
        <v>4500</v>
      </c>
      <c r="F152" s="24" t="s">
        <v>327</v>
      </c>
      <c r="G152" s="24" t="s">
        <v>327</v>
      </c>
      <c r="H152" s="24" t="s">
        <v>327</v>
      </c>
      <c r="I152" s="24" t="s">
        <v>327</v>
      </c>
      <c r="J152" s="24" t="s">
        <v>327</v>
      </c>
      <c r="K152" s="24" t="s">
        <v>327</v>
      </c>
      <c r="L152" s="24" t="s">
        <v>327</v>
      </c>
      <c r="M152" s="8"/>
    </row>
    <row r="153" spans="1:13" s="3" customFormat="1" ht="12" customHeight="1" x14ac:dyDescent="0.15">
      <c r="A153" s="1" t="s">
        <v>675</v>
      </c>
      <c r="B153" s="2" t="s">
        <v>355</v>
      </c>
      <c r="C153" s="6">
        <v>7</v>
      </c>
      <c r="D153" s="2" t="s">
        <v>281</v>
      </c>
      <c r="E153" s="6">
        <v>4520</v>
      </c>
      <c r="F153" s="24" t="s">
        <v>327</v>
      </c>
      <c r="G153" s="24" t="s">
        <v>327</v>
      </c>
      <c r="H153" s="18">
        <f>2212+49398+2725+1</f>
        <v>54336</v>
      </c>
      <c r="I153" s="24" t="s">
        <v>327</v>
      </c>
      <c r="J153" s="24" t="s">
        <v>327</v>
      </c>
      <c r="K153" s="24" t="s">
        <v>327</v>
      </c>
      <c r="L153" s="24" t="s">
        <v>327</v>
      </c>
      <c r="M153" s="8"/>
    </row>
    <row r="154" spans="1:13" s="3" customFormat="1" ht="12" customHeight="1" x14ac:dyDescent="0.15">
      <c r="A154" s="1" t="s">
        <v>676</v>
      </c>
      <c r="B154" s="2" t="s">
        <v>355</v>
      </c>
      <c r="C154" s="6">
        <v>8</v>
      </c>
      <c r="D154" s="2" t="s">
        <v>281</v>
      </c>
      <c r="E154" s="6">
        <v>4530</v>
      </c>
      <c r="F154" s="24" t="s">
        <v>327</v>
      </c>
      <c r="G154" s="24" t="s">
        <v>327</v>
      </c>
      <c r="H154" s="18">
        <v>41045</v>
      </c>
      <c r="I154" s="24" t="s">
        <v>327</v>
      </c>
      <c r="J154" s="24" t="s">
        <v>327</v>
      </c>
      <c r="K154" s="24" t="s">
        <v>327</v>
      </c>
      <c r="L154" s="24" t="s">
        <v>327</v>
      </c>
      <c r="M154" s="8"/>
    </row>
    <row r="155" spans="1:13" s="3" customFormat="1" ht="12" customHeight="1" x14ac:dyDescent="0.15">
      <c r="A155" s="1" t="s">
        <v>513</v>
      </c>
      <c r="B155" s="2" t="s">
        <v>355</v>
      </c>
      <c r="C155" s="6">
        <v>9</v>
      </c>
      <c r="D155" s="2" t="s">
        <v>281</v>
      </c>
      <c r="E155" s="6">
        <v>4540</v>
      </c>
      <c r="F155" s="24" t="s">
        <v>327</v>
      </c>
      <c r="G155" s="24" t="s">
        <v>327</v>
      </c>
      <c r="H155" s="18"/>
      <c r="I155" s="24" t="s">
        <v>327</v>
      </c>
      <c r="J155" s="24" t="s">
        <v>327</v>
      </c>
      <c r="K155" s="24" t="s">
        <v>327</v>
      </c>
      <c r="L155" s="24" t="s">
        <v>327</v>
      </c>
      <c r="M155" s="8"/>
    </row>
    <row r="156" spans="1:13" s="3" customFormat="1" ht="12" customHeight="1" x14ac:dyDescent="0.15">
      <c r="A156" s="1" t="s">
        <v>514</v>
      </c>
      <c r="B156" s="2" t="s">
        <v>355</v>
      </c>
      <c r="C156" s="6">
        <v>10</v>
      </c>
      <c r="D156" s="2" t="s">
        <v>281</v>
      </c>
      <c r="E156" s="6">
        <v>4550</v>
      </c>
      <c r="F156" s="18"/>
      <c r="G156" s="24" t="s">
        <v>327</v>
      </c>
      <c r="H156" s="18"/>
      <c r="I156" s="24" t="s">
        <v>327</v>
      </c>
      <c r="J156" s="24" t="s">
        <v>327</v>
      </c>
      <c r="K156" s="24" t="s">
        <v>327</v>
      </c>
      <c r="L156" s="24" t="s">
        <v>327</v>
      </c>
      <c r="M156" s="8"/>
    </row>
    <row r="157" spans="1:13" s="3" customFormat="1" ht="12" customHeight="1" x14ac:dyDescent="0.15">
      <c r="A157" s="1" t="s">
        <v>366</v>
      </c>
      <c r="B157" s="2" t="s">
        <v>355</v>
      </c>
      <c r="C157" s="6">
        <v>11</v>
      </c>
      <c r="D157" s="2" t="s">
        <v>281</v>
      </c>
      <c r="E157" s="6">
        <v>4560</v>
      </c>
      <c r="F157" s="24" t="s">
        <v>327</v>
      </c>
      <c r="G157" s="18">
        <f>34496+16291+1739+15513</f>
        <v>68039</v>
      </c>
      <c r="H157" s="24" t="s">
        <v>327</v>
      </c>
      <c r="I157" s="24" t="s">
        <v>327</v>
      </c>
      <c r="J157" s="24" t="s">
        <v>327</v>
      </c>
      <c r="K157" s="24" t="s">
        <v>327</v>
      </c>
      <c r="L157" s="24" t="s">
        <v>327</v>
      </c>
      <c r="M157" s="8"/>
    </row>
    <row r="158" spans="1:13" s="3" customFormat="1" ht="12" customHeight="1" x14ac:dyDescent="0.15">
      <c r="A158" s="1" t="s">
        <v>511</v>
      </c>
      <c r="B158" s="2" t="s">
        <v>355</v>
      </c>
      <c r="C158" s="6">
        <v>12</v>
      </c>
      <c r="D158" s="2" t="s">
        <v>281</v>
      </c>
      <c r="E158" s="6">
        <v>4570</v>
      </c>
      <c r="F158" s="18"/>
      <c r="G158" s="24" t="s">
        <v>327</v>
      </c>
      <c r="H158" s="18">
        <v>197851</v>
      </c>
      <c r="I158" s="24" t="s">
        <v>327</v>
      </c>
      <c r="J158" s="24" t="s">
        <v>327</v>
      </c>
      <c r="K158" s="24" t="s">
        <v>327</v>
      </c>
      <c r="L158" s="24" t="s">
        <v>327</v>
      </c>
      <c r="M158" s="8"/>
    </row>
    <row r="159" spans="1:13" s="3" customFormat="1" ht="12" customHeight="1" x14ac:dyDescent="0.15">
      <c r="A159" s="1" t="s">
        <v>367</v>
      </c>
      <c r="B159" s="2" t="s">
        <v>355</v>
      </c>
      <c r="C159" s="6">
        <v>13</v>
      </c>
      <c r="D159" s="2" t="s">
        <v>281</v>
      </c>
      <c r="E159" s="6">
        <v>4580</v>
      </c>
      <c r="F159" s="18">
        <v>88660</v>
      </c>
      <c r="G159" s="24" t="s">
        <v>327</v>
      </c>
      <c r="H159" s="18"/>
      <c r="I159" s="24" t="s">
        <v>327</v>
      </c>
      <c r="J159" s="24" t="s">
        <v>327</v>
      </c>
      <c r="K159" s="24" t="s">
        <v>327</v>
      </c>
      <c r="L159" s="24" t="s">
        <v>327</v>
      </c>
      <c r="M159" s="8"/>
    </row>
    <row r="160" spans="1:13" s="3" customFormat="1" ht="12" customHeight="1" thickBot="1" x14ac:dyDescent="0.2">
      <c r="A160" s="1" t="s">
        <v>368</v>
      </c>
      <c r="B160" s="2" t="s">
        <v>355</v>
      </c>
      <c r="C160" s="6">
        <v>14</v>
      </c>
      <c r="D160" s="2" t="s">
        <v>281</v>
      </c>
      <c r="E160" s="6">
        <v>4590</v>
      </c>
      <c r="F160" s="18">
        <v>19115</v>
      </c>
      <c r="G160" s="18"/>
      <c r="H160" s="18">
        <f>56709+30814</f>
        <v>87523</v>
      </c>
      <c r="I160" s="18"/>
      <c r="J160" s="24" t="s">
        <v>327</v>
      </c>
      <c r="K160" s="24" t="s">
        <v>327</v>
      </c>
      <c r="L160" s="24" t="s">
        <v>327</v>
      </c>
      <c r="M160" s="8"/>
    </row>
    <row r="161" spans="1:13" s="3" customFormat="1" ht="12" customHeight="1" thickTop="1" x14ac:dyDescent="0.15">
      <c r="A161" s="38" t="s">
        <v>287</v>
      </c>
      <c r="B161" s="39" t="s">
        <v>355</v>
      </c>
      <c r="C161" s="40">
        <v>15</v>
      </c>
      <c r="D161" s="39" t="s">
        <v>281</v>
      </c>
      <c r="E161" s="40"/>
      <c r="F161" s="41">
        <f>SUM(F149:F160)</f>
        <v>107775</v>
      </c>
      <c r="G161" s="41">
        <f>SUM(G149:G160)</f>
        <v>68039</v>
      </c>
      <c r="H161" s="41">
        <f>SUM(H149:H160)</f>
        <v>380755</v>
      </c>
      <c r="I161" s="41">
        <f>SUM(I149:I160)</f>
        <v>0</v>
      </c>
      <c r="J161" s="45" t="s">
        <v>327</v>
      </c>
      <c r="K161" s="45" t="s">
        <v>327</v>
      </c>
      <c r="L161" s="45" t="s">
        <v>327</v>
      </c>
      <c r="M161" s="8"/>
    </row>
    <row r="162" spans="1:13" s="3" customFormat="1" ht="12" customHeight="1" x14ac:dyDescent="0.15">
      <c r="A162" s="3" t="s">
        <v>584</v>
      </c>
      <c r="B162" s="2" t="s">
        <v>355</v>
      </c>
      <c r="C162" s="6">
        <v>16</v>
      </c>
      <c r="D162" s="2" t="s">
        <v>281</v>
      </c>
      <c r="E162" s="6">
        <v>4700</v>
      </c>
      <c r="F162" s="18"/>
      <c r="G162" s="18"/>
      <c r="H162" s="18"/>
      <c r="I162" s="18"/>
      <c r="J162" s="24" t="s">
        <v>327</v>
      </c>
      <c r="K162" s="24" t="s">
        <v>327</v>
      </c>
      <c r="L162" s="24" t="s">
        <v>327</v>
      </c>
      <c r="M162" s="8"/>
    </row>
    <row r="163" spans="1:13" s="3" customFormat="1" ht="12" customHeight="1" x14ac:dyDescent="0.15">
      <c r="A163" s="30" t="s">
        <v>361</v>
      </c>
      <c r="E163" s="6"/>
      <c r="F163" s="24" t="s">
        <v>327</v>
      </c>
      <c r="G163" s="24" t="s">
        <v>327</v>
      </c>
      <c r="H163" s="24" t="s">
        <v>327</v>
      </c>
      <c r="I163" s="24" t="s">
        <v>327</v>
      </c>
      <c r="J163" s="24" t="s">
        <v>327</v>
      </c>
      <c r="K163" s="24" t="s">
        <v>327</v>
      </c>
      <c r="L163" s="24" t="s">
        <v>327</v>
      </c>
      <c r="M163" s="8"/>
    </row>
    <row r="164" spans="1:13" s="3" customFormat="1" ht="12" customHeight="1" x14ac:dyDescent="0.15">
      <c r="A164" s="1" t="s">
        <v>369</v>
      </c>
      <c r="B164" s="2" t="s">
        <v>355</v>
      </c>
      <c r="C164" s="6">
        <v>17</v>
      </c>
      <c r="D164" s="2" t="s">
        <v>281</v>
      </c>
      <c r="E164" s="6">
        <v>4810</v>
      </c>
      <c r="F164" s="18"/>
      <c r="G164" s="24" t="s">
        <v>327</v>
      </c>
      <c r="H164" s="24" t="s">
        <v>327</v>
      </c>
      <c r="I164" s="24" t="s">
        <v>327</v>
      </c>
      <c r="J164" s="24" t="s">
        <v>327</v>
      </c>
      <c r="K164" s="24" t="s">
        <v>327</v>
      </c>
      <c r="L164" s="24" t="s">
        <v>327</v>
      </c>
      <c r="M164" s="8"/>
    </row>
    <row r="165" spans="1:13" s="3" customFormat="1" ht="12" customHeight="1" x14ac:dyDescent="0.15">
      <c r="A165" s="1" t="s">
        <v>370</v>
      </c>
      <c r="B165" s="2" t="s">
        <v>355</v>
      </c>
      <c r="C165" s="6">
        <v>18</v>
      </c>
      <c r="D165" s="2" t="s">
        <v>281</v>
      </c>
      <c r="E165" s="6">
        <v>4890</v>
      </c>
      <c r="F165" s="18"/>
      <c r="G165" s="24" t="s">
        <v>327</v>
      </c>
      <c r="H165" s="24" t="s">
        <v>327</v>
      </c>
      <c r="I165" s="24" t="s">
        <v>327</v>
      </c>
      <c r="J165" s="24" t="s">
        <v>327</v>
      </c>
      <c r="K165" s="24" t="s">
        <v>327</v>
      </c>
      <c r="L165" s="24" t="s">
        <v>327</v>
      </c>
      <c r="M165" s="8"/>
    </row>
    <row r="166" spans="1:13" s="3" customFormat="1" ht="12" customHeight="1" x14ac:dyDescent="0.15">
      <c r="A166" s="30" t="s">
        <v>587</v>
      </c>
      <c r="B166" s="2"/>
      <c r="C166" s="6"/>
      <c r="D166" s="2"/>
      <c r="E166" s="6"/>
      <c r="F166" s="24" t="s">
        <v>327</v>
      </c>
      <c r="G166" s="24" t="s">
        <v>327</v>
      </c>
      <c r="H166" s="24" t="s">
        <v>327</v>
      </c>
      <c r="I166" s="24" t="s">
        <v>327</v>
      </c>
      <c r="J166" s="24" t="s">
        <v>327</v>
      </c>
      <c r="K166" s="24" t="s">
        <v>327</v>
      </c>
      <c r="L166" s="24" t="s">
        <v>327</v>
      </c>
      <c r="M166" s="8"/>
    </row>
    <row r="167" spans="1:13" s="3" customFormat="1" ht="12" customHeight="1" thickBot="1" x14ac:dyDescent="0.2">
      <c r="A167" s="1" t="s">
        <v>371</v>
      </c>
      <c r="B167" s="2" t="s">
        <v>355</v>
      </c>
      <c r="C167" s="6">
        <v>19</v>
      </c>
      <c r="D167" s="2" t="s">
        <v>281</v>
      </c>
      <c r="E167" s="6">
        <v>4900</v>
      </c>
      <c r="F167" s="18"/>
      <c r="G167" s="18"/>
      <c r="H167" s="18"/>
      <c r="I167" s="24" t="s">
        <v>327</v>
      </c>
      <c r="J167" s="24" t="s">
        <v>327</v>
      </c>
      <c r="K167" s="24" t="s">
        <v>327</v>
      </c>
      <c r="L167" s="24" t="s">
        <v>327</v>
      </c>
      <c r="M167" s="8"/>
    </row>
    <row r="168" spans="1:13" s="3" customFormat="1" ht="12" customHeight="1" thickTop="1" x14ac:dyDescent="0.15">
      <c r="A168" s="38" t="s">
        <v>481</v>
      </c>
      <c r="B168" s="39" t="s">
        <v>355</v>
      </c>
      <c r="C168" s="40">
        <v>20</v>
      </c>
      <c r="D168" s="39" t="s">
        <v>281</v>
      </c>
      <c r="E168" s="44">
        <v>4000</v>
      </c>
      <c r="F168" s="41">
        <f>F146+F161+SUM(F162:F167)</f>
        <v>107775</v>
      </c>
      <c r="G168" s="41">
        <f>G146+G161+SUM(G162:G167)</f>
        <v>68039</v>
      </c>
      <c r="H168" s="41">
        <f>H146+H161+SUM(H162:H167)</f>
        <v>380755</v>
      </c>
      <c r="I168" s="41">
        <f>I146+I161+SUM(I162:I167)</f>
        <v>0</v>
      </c>
      <c r="J168" s="45" t="s">
        <v>327</v>
      </c>
      <c r="K168" s="45" t="s">
        <v>327</v>
      </c>
      <c r="L168" s="45" t="s">
        <v>327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312</v>
      </c>
      <c r="G169" s="23" t="s">
        <v>313</v>
      </c>
      <c r="H169" s="23" t="s">
        <v>314</v>
      </c>
      <c r="I169" s="23" t="s">
        <v>315</v>
      </c>
      <c r="J169" s="23" t="s">
        <v>316</v>
      </c>
      <c r="K169" s="20"/>
      <c r="L169" s="20"/>
      <c r="M169" s="8"/>
    </row>
    <row r="170" spans="1:13" s="3" customFormat="1" ht="12" customHeight="1" x14ac:dyDescent="0.2">
      <c r="A170" s="29" t="s">
        <v>585</v>
      </c>
      <c r="F170" s="23"/>
      <c r="G170" s="23"/>
      <c r="H170" s="16" t="s">
        <v>321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362</v>
      </c>
      <c r="B171" s="7"/>
      <c r="C171" s="7"/>
      <c r="D171" s="7"/>
      <c r="E171" s="7"/>
      <c r="F171" s="16" t="s">
        <v>319</v>
      </c>
      <c r="G171" s="16" t="s">
        <v>320</v>
      </c>
      <c r="H171" s="225" t="s">
        <v>788</v>
      </c>
      <c r="I171" s="16" t="s">
        <v>322</v>
      </c>
      <c r="J171" s="16" t="s">
        <v>323</v>
      </c>
      <c r="K171" s="20"/>
      <c r="L171" s="20"/>
      <c r="M171" s="8"/>
    </row>
    <row r="172" spans="1:13" s="3" customFormat="1" ht="12" customHeight="1" x14ac:dyDescent="0.15">
      <c r="A172" s="1" t="s">
        <v>545</v>
      </c>
      <c r="B172" s="2" t="s">
        <v>363</v>
      </c>
      <c r="C172" s="6">
        <v>1</v>
      </c>
      <c r="D172" s="2" t="s">
        <v>281</v>
      </c>
      <c r="E172" s="6">
        <v>5110</v>
      </c>
      <c r="F172" s="18"/>
      <c r="G172" s="24" t="s">
        <v>327</v>
      </c>
      <c r="H172" s="24" t="s">
        <v>327</v>
      </c>
      <c r="I172" s="18"/>
      <c r="J172" s="24" t="s">
        <v>327</v>
      </c>
      <c r="K172" s="24" t="s">
        <v>327</v>
      </c>
      <c r="L172" s="24" t="s">
        <v>327</v>
      </c>
      <c r="M172" s="8"/>
    </row>
    <row r="173" spans="1:13" s="3" customFormat="1" ht="12" customHeight="1" x14ac:dyDescent="0.15">
      <c r="A173" s="1" t="s">
        <v>546</v>
      </c>
      <c r="B173" s="6">
        <v>6</v>
      </c>
      <c r="C173" s="6">
        <v>2</v>
      </c>
      <c r="D173" s="2" t="s">
        <v>281</v>
      </c>
      <c r="E173" s="6">
        <v>5120</v>
      </c>
      <c r="F173" s="18"/>
      <c r="G173" s="24" t="s">
        <v>327</v>
      </c>
      <c r="H173" s="24" t="s">
        <v>327</v>
      </c>
      <c r="I173" s="18"/>
      <c r="J173" s="24" t="s">
        <v>327</v>
      </c>
      <c r="K173" s="24" t="s">
        <v>327</v>
      </c>
      <c r="L173" s="24" t="s">
        <v>327</v>
      </c>
      <c r="M173" s="8"/>
    </row>
    <row r="174" spans="1:13" s="3" customFormat="1" ht="12" customHeight="1" x14ac:dyDescent="0.15">
      <c r="A174" s="1" t="s">
        <v>548</v>
      </c>
      <c r="B174" s="2" t="s">
        <v>363</v>
      </c>
      <c r="C174" s="6">
        <v>3</v>
      </c>
      <c r="D174" s="2" t="s">
        <v>281</v>
      </c>
      <c r="E174" s="6">
        <v>5130</v>
      </c>
      <c r="F174" s="18"/>
      <c r="G174" s="24" t="s">
        <v>327</v>
      </c>
      <c r="H174" s="24" t="s">
        <v>327</v>
      </c>
      <c r="I174" s="18"/>
      <c r="J174" s="24" t="s">
        <v>327</v>
      </c>
      <c r="K174" s="24" t="s">
        <v>327</v>
      </c>
      <c r="L174" s="24" t="s">
        <v>327</v>
      </c>
      <c r="M174" s="8"/>
    </row>
    <row r="175" spans="1:13" s="3" customFormat="1" ht="12" customHeight="1" thickBot="1" x14ac:dyDescent="0.2">
      <c r="A175" s="1" t="s">
        <v>547</v>
      </c>
      <c r="B175" s="2" t="s">
        <v>363</v>
      </c>
      <c r="C175" s="6">
        <v>4</v>
      </c>
      <c r="D175" s="2" t="s">
        <v>281</v>
      </c>
      <c r="E175" s="6">
        <v>5140</v>
      </c>
      <c r="F175" s="18"/>
      <c r="G175" s="24" t="s">
        <v>327</v>
      </c>
      <c r="H175" s="24" t="s">
        <v>327</v>
      </c>
      <c r="I175" s="18"/>
      <c r="J175" s="24" t="s">
        <v>327</v>
      </c>
      <c r="K175" s="24" t="s">
        <v>327</v>
      </c>
      <c r="L175" s="24" t="s">
        <v>327</v>
      </c>
      <c r="M175" s="8"/>
    </row>
    <row r="176" spans="1:13" s="3" customFormat="1" ht="12" customHeight="1" thickTop="1" x14ac:dyDescent="0.15">
      <c r="A176" s="38" t="s">
        <v>288</v>
      </c>
      <c r="B176" s="39" t="s">
        <v>363</v>
      </c>
      <c r="C176" s="44">
        <v>5</v>
      </c>
      <c r="D176" s="39" t="s">
        <v>281</v>
      </c>
      <c r="E176" s="44">
        <v>5100</v>
      </c>
      <c r="F176" s="41">
        <f>SUM(F172:F175)</f>
        <v>0</v>
      </c>
      <c r="G176" s="41" t="s">
        <v>327</v>
      </c>
      <c r="H176" s="41" t="s">
        <v>327</v>
      </c>
      <c r="I176" s="41">
        <f>SUM(I172:I175)</f>
        <v>0</v>
      </c>
      <c r="J176" s="45" t="s">
        <v>327</v>
      </c>
      <c r="K176" s="45" t="s">
        <v>327</v>
      </c>
      <c r="L176" s="45" t="s">
        <v>327</v>
      </c>
      <c r="M176" s="8"/>
    </row>
    <row r="177" spans="1:13" s="3" customFormat="1" ht="12" customHeight="1" x14ac:dyDescent="0.15">
      <c r="A177" s="30" t="s">
        <v>364</v>
      </c>
      <c r="B177" s="2"/>
      <c r="C177" s="2"/>
      <c r="D177" s="2"/>
      <c r="E177" s="2"/>
      <c r="F177" s="24" t="s">
        <v>327</v>
      </c>
      <c r="G177" s="24" t="s">
        <v>327</v>
      </c>
      <c r="H177" s="24" t="s">
        <v>327</v>
      </c>
      <c r="I177" s="24" t="s">
        <v>327</v>
      </c>
      <c r="J177" s="24" t="s">
        <v>327</v>
      </c>
      <c r="K177" s="24" t="s">
        <v>327</v>
      </c>
      <c r="L177" s="24" t="s">
        <v>327</v>
      </c>
      <c r="M177" s="8"/>
    </row>
    <row r="178" spans="1:13" s="3" customFormat="1" ht="12" customHeight="1" x14ac:dyDescent="0.15">
      <c r="A178" s="1" t="s">
        <v>549</v>
      </c>
      <c r="B178" s="2" t="s">
        <v>363</v>
      </c>
      <c r="C178" s="6">
        <v>6</v>
      </c>
      <c r="D178" s="2" t="s">
        <v>281</v>
      </c>
      <c r="E178" s="6">
        <v>5210</v>
      </c>
      <c r="F178" s="24" t="s">
        <v>327</v>
      </c>
      <c r="G178" s="18">
        <v>83253</v>
      </c>
      <c r="H178" s="18">
        <v>1887</v>
      </c>
      <c r="I178" s="18">
        <v>0</v>
      </c>
      <c r="J178" s="18">
        <v>50000</v>
      </c>
      <c r="K178" s="24" t="s">
        <v>327</v>
      </c>
      <c r="L178" s="24" t="s">
        <v>327</v>
      </c>
      <c r="M178" s="8"/>
    </row>
    <row r="179" spans="1:13" s="3" customFormat="1" ht="12" customHeight="1" x14ac:dyDescent="0.15">
      <c r="A179" s="1" t="s">
        <v>550</v>
      </c>
      <c r="B179" s="2" t="s">
        <v>363</v>
      </c>
      <c r="C179" s="6">
        <v>7</v>
      </c>
      <c r="D179" s="2" t="s">
        <v>281</v>
      </c>
      <c r="E179" s="6">
        <v>5221</v>
      </c>
      <c r="F179" s="18"/>
      <c r="G179" s="24" t="s">
        <v>327</v>
      </c>
      <c r="H179" s="18"/>
      <c r="I179" s="18"/>
      <c r="J179" s="18"/>
      <c r="K179" s="24" t="s">
        <v>327</v>
      </c>
      <c r="L179" s="24" t="s">
        <v>327</v>
      </c>
      <c r="M179" s="8"/>
    </row>
    <row r="180" spans="1:13" s="3" customFormat="1" ht="12" customHeight="1" x14ac:dyDescent="0.15">
      <c r="A180" s="3" t="s">
        <v>551</v>
      </c>
      <c r="B180" s="2" t="s">
        <v>363</v>
      </c>
      <c r="C180" s="6">
        <v>8</v>
      </c>
      <c r="D180" s="2" t="s">
        <v>281</v>
      </c>
      <c r="E180" s="6">
        <v>5222</v>
      </c>
      <c r="F180" s="18"/>
      <c r="G180" s="18"/>
      <c r="H180" s="24" t="s">
        <v>327</v>
      </c>
      <c r="I180" s="18"/>
      <c r="J180" s="18"/>
      <c r="K180" s="24" t="s">
        <v>327</v>
      </c>
      <c r="L180" s="24" t="s">
        <v>327</v>
      </c>
      <c r="M180" s="8"/>
    </row>
    <row r="181" spans="1:13" s="3" customFormat="1" ht="12" customHeight="1" thickBot="1" x14ac:dyDescent="0.2">
      <c r="A181" s="3" t="s">
        <v>552</v>
      </c>
      <c r="B181" s="2" t="s">
        <v>363</v>
      </c>
      <c r="C181" s="6">
        <v>9</v>
      </c>
      <c r="D181" s="2" t="s">
        <v>281</v>
      </c>
      <c r="E181" s="6">
        <v>5230</v>
      </c>
      <c r="F181" s="18"/>
      <c r="G181" s="18"/>
      <c r="H181" s="18"/>
      <c r="I181" s="24" t="s">
        <v>327</v>
      </c>
      <c r="J181" s="18"/>
      <c r="K181" s="24" t="s">
        <v>327</v>
      </c>
      <c r="L181" s="24" t="s">
        <v>327</v>
      </c>
      <c r="M181" s="8"/>
    </row>
    <row r="182" spans="1:13" s="3" customFormat="1" ht="12" customHeight="1" thickTop="1" x14ac:dyDescent="0.15">
      <c r="A182" s="38" t="s">
        <v>433</v>
      </c>
      <c r="B182" s="39" t="s">
        <v>363</v>
      </c>
      <c r="C182" s="44">
        <v>10</v>
      </c>
      <c r="D182" s="39" t="s">
        <v>281</v>
      </c>
      <c r="E182" s="44">
        <v>5200</v>
      </c>
      <c r="F182" s="41">
        <f>SUM(F178:F181)</f>
        <v>0</v>
      </c>
      <c r="G182" s="41">
        <f>SUM(G178:G181)</f>
        <v>83253</v>
      </c>
      <c r="H182" s="41">
        <f>SUM(H178:H181)</f>
        <v>1887</v>
      </c>
      <c r="I182" s="41">
        <f>SUM(I178:I181)</f>
        <v>0</v>
      </c>
      <c r="J182" s="41">
        <f>SUM(J178:J181)</f>
        <v>50000</v>
      </c>
      <c r="K182" s="45" t="s">
        <v>327</v>
      </c>
      <c r="L182" s="45" t="s">
        <v>327</v>
      </c>
      <c r="M182" s="8"/>
    </row>
    <row r="183" spans="1:13" s="3" customFormat="1" ht="12" customHeight="1" x14ac:dyDescent="0.15">
      <c r="A183" s="30" t="s">
        <v>365</v>
      </c>
      <c r="B183" s="2"/>
      <c r="C183" s="6"/>
      <c r="D183" s="6"/>
      <c r="E183" s="6"/>
      <c r="F183" s="24" t="s">
        <v>327</v>
      </c>
      <c r="G183" s="24" t="s">
        <v>327</v>
      </c>
      <c r="H183" s="24" t="s">
        <v>327</v>
      </c>
      <c r="I183" s="24" t="s">
        <v>327</v>
      </c>
      <c r="J183" s="24" t="s">
        <v>327</v>
      </c>
      <c r="K183" s="24" t="s">
        <v>327</v>
      </c>
      <c r="L183" s="24" t="s">
        <v>327</v>
      </c>
      <c r="M183" s="8"/>
    </row>
    <row r="184" spans="1:13" s="3" customFormat="1" ht="12" customHeight="1" x14ac:dyDescent="0.15">
      <c r="A184" s="1" t="s">
        <v>553</v>
      </c>
      <c r="B184" s="2" t="s">
        <v>363</v>
      </c>
      <c r="C184" s="6">
        <v>11</v>
      </c>
      <c r="D184" s="2" t="s">
        <v>281</v>
      </c>
      <c r="E184" s="6">
        <v>5251</v>
      </c>
      <c r="F184" s="18">
        <v>0</v>
      </c>
      <c r="G184" s="18"/>
      <c r="H184" s="18"/>
      <c r="I184" s="18"/>
      <c r="J184" s="24" t="s">
        <v>327</v>
      </c>
      <c r="K184" s="24" t="s">
        <v>327</v>
      </c>
      <c r="L184" s="24" t="s">
        <v>327</v>
      </c>
      <c r="M184" s="8"/>
    </row>
    <row r="185" spans="1:13" s="3" customFormat="1" ht="12" customHeight="1" x14ac:dyDescent="0.15">
      <c r="A185" s="1" t="s">
        <v>554</v>
      </c>
      <c r="B185" s="2" t="s">
        <v>363</v>
      </c>
      <c r="C185" s="6">
        <v>12</v>
      </c>
      <c r="D185" s="2" t="s">
        <v>281</v>
      </c>
      <c r="E185" s="6">
        <v>5252</v>
      </c>
      <c r="F185" s="18"/>
      <c r="G185" s="18">
        <v>0</v>
      </c>
      <c r="H185" s="18"/>
      <c r="I185" s="18">
        <v>0</v>
      </c>
      <c r="J185" s="24" t="s">
        <v>327</v>
      </c>
      <c r="K185" s="24" t="s">
        <v>327</v>
      </c>
      <c r="L185" s="24" t="s">
        <v>327</v>
      </c>
      <c r="M185" s="8"/>
    </row>
    <row r="186" spans="1:13" ht="12" customHeight="1" thickBot="1" x14ac:dyDescent="0.25">
      <c r="A186" s="1" t="s">
        <v>681</v>
      </c>
      <c r="B186" s="2" t="s">
        <v>363</v>
      </c>
      <c r="C186" s="6">
        <v>13</v>
      </c>
      <c r="D186" s="2" t="s">
        <v>281</v>
      </c>
      <c r="E186" s="6">
        <v>5253</v>
      </c>
      <c r="F186" s="18"/>
      <c r="G186" s="18"/>
      <c r="H186" s="18"/>
      <c r="I186" s="18"/>
      <c r="J186" s="24" t="s">
        <v>327</v>
      </c>
      <c r="K186" s="24" t="s">
        <v>327</v>
      </c>
      <c r="L186" s="24" t="s">
        <v>327</v>
      </c>
    </row>
    <row r="187" spans="1:13" ht="12" customHeight="1" thickTop="1" x14ac:dyDescent="0.2">
      <c r="A187" s="38" t="s">
        <v>434</v>
      </c>
      <c r="B187" s="39" t="s">
        <v>363</v>
      </c>
      <c r="C187" s="40">
        <v>14</v>
      </c>
      <c r="D187" s="39" t="s">
        <v>281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327</v>
      </c>
      <c r="K187" s="45" t="s">
        <v>327</v>
      </c>
      <c r="L187" s="45" t="s">
        <v>327</v>
      </c>
    </row>
    <row r="188" spans="1:13" s="3" customFormat="1" ht="12" customHeight="1" x14ac:dyDescent="0.15">
      <c r="A188" s="3" t="s">
        <v>193</v>
      </c>
      <c r="B188" s="2" t="s">
        <v>363</v>
      </c>
      <c r="C188" s="6">
        <v>15</v>
      </c>
      <c r="D188" s="2" t="s">
        <v>281</v>
      </c>
      <c r="E188" s="6">
        <v>5300</v>
      </c>
      <c r="F188" s="18"/>
      <c r="G188" s="18"/>
      <c r="H188" s="18"/>
      <c r="I188" s="18"/>
      <c r="J188" s="24" t="s">
        <v>327</v>
      </c>
      <c r="K188" s="24" t="s">
        <v>327</v>
      </c>
      <c r="L188" s="24" t="s">
        <v>327</v>
      </c>
      <c r="M188" s="8"/>
    </row>
    <row r="189" spans="1:13" s="3" customFormat="1" ht="12" customHeight="1" x14ac:dyDescent="0.15">
      <c r="A189" s="3" t="s">
        <v>194</v>
      </c>
      <c r="B189" s="2" t="s">
        <v>363</v>
      </c>
      <c r="C189" s="6">
        <v>16</v>
      </c>
      <c r="D189" s="2" t="s">
        <v>281</v>
      </c>
      <c r="E189" s="6">
        <v>5500</v>
      </c>
      <c r="F189" s="18"/>
      <c r="G189" s="18"/>
      <c r="H189" s="18"/>
      <c r="I189" s="18"/>
      <c r="J189" s="24" t="s">
        <v>327</v>
      </c>
      <c r="K189" s="24" t="s">
        <v>327</v>
      </c>
      <c r="L189" s="24" t="s">
        <v>327</v>
      </c>
      <c r="M189" s="8"/>
    </row>
    <row r="190" spans="1:13" s="3" customFormat="1" ht="12" customHeight="1" thickBot="1" x14ac:dyDescent="0.2">
      <c r="A190" s="1" t="s">
        <v>195</v>
      </c>
      <c r="B190" s="2" t="s">
        <v>363</v>
      </c>
      <c r="C190" s="6">
        <v>17</v>
      </c>
      <c r="D190" s="2" t="s">
        <v>281</v>
      </c>
      <c r="E190" s="6">
        <v>5600</v>
      </c>
      <c r="F190" s="18"/>
      <c r="G190" s="18"/>
      <c r="H190" s="18"/>
      <c r="I190" s="18"/>
      <c r="J190" s="24" t="s">
        <v>327</v>
      </c>
      <c r="K190" s="24" t="s">
        <v>327</v>
      </c>
      <c r="L190" s="24" t="s">
        <v>327</v>
      </c>
      <c r="M190" s="8"/>
    </row>
    <row r="191" spans="1:13" s="3" customFormat="1" ht="12" customHeight="1" thickTop="1" thickBot="1" x14ac:dyDescent="0.25">
      <c r="A191" s="38" t="s">
        <v>435</v>
      </c>
      <c r="B191" s="39" t="s">
        <v>363</v>
      </c>
      <c r="C191" s="40">
        <v>18</v>
      </c>
      <c r="D191" s="156" t="s">
        <v>281</v>
      </c>
      <c r="E191" s="51">
        <v>5000</v>
      </c>
      <c r="F191" s="41">
        <f>F176+F182+SUM(F187:F190)</f>
        <v>0</v>
      </c>
      <c r="G191" s="41">
        <f>G182+SUM(G187:G190)</f>
        <v>83253</v>
      </c>
      <c r="H191" s="41">
        <f>+H182+SUM(H187:H190)</f>
        <v>1887</v>
      </c>
      <c r="I191" s="41">
        <f>I176+I182+SUM(I187:I190)</f>
        <v>0</v>
      </c>
      <c r="J191" s="41">
        <f>J182</f>
        <v>50000</v>
      </c>
      <c r="K191" s="45" t="s">
        <v>327</v>
      </c>
      <c r="L191" s="45" t="s">
        <v>327</v>
      </c>
      <c r="M191" s="8"/>
    </row>
    <row r="192" spans="1:13" s="3" customFormat="1" ht="12" customHeight="1" thickTop="1" x14ac:dyDescent="0.2">
      <c r="A192" s="46" t="s">
        <v>480</v>
      </c>
      <c r="B192" s="39" t="s">
        <v>363</v>
      </c>
      <c r="C192" s="40">
        <v>19</v>
      </c>
      <c r="D192" s="157" t="s">
        <v>281</v>
      </c>
      <c r="E192" s="44"/>
      <c r="F192" s="47">
        <f>F111+F139+F168+F191</f>
        <v>15110116</v>
      </c>
      <c r="G192" s="47">
        <f>G111+G139+G168+G191</f>
        <v>373969</v>
      </c>
      <c r="H192" s="47">
        <f>H111+H139+H168+H191</f>
        <v>423885</v>
      </c>
      <c r="I192" s="47">
        <f>I111+I139+I168+I191</f>
        <v>0</v>
      </c>
      <c r="J192" s="47">
        <f>J111+J139+J191</f>
        <v>50738</v>
      </c>
      <c r="K192" s="45" t="s">
        <v>327</v>
      </c>
      <c r="L192" s="45" t="s">
        <v>327</v>
      </c>
      <c r="M192" s="8"/>
    </row>
    <row r="193" spans="1:13" s="3" customFormat="1" ht="12" customHeight="1" x14ac:dyDescent="0.15">
      <c r="A193" s="55" t="s">
        <v>488</v>
      </c>
      <c r="B193" s="36"/>
      <c r="C193" s="58"/>
      <c r="D193" s="58"/>
      <c r="E193" s="58"/>
      <c r="F193" s="177" t="s">
        <v>594</v>
      </c>
      <c r="G193" s="177" t="s">
        <v>595</v>
      </c>
      <c r="H193" s="177" t="s">
        <v>596</v>
      </c>
      <c r="I193" s="177" t="s">
        <v>597</v>
      </c>
      <c r="J193" s="177" t="s">
        <v>598</v>
      </c>
      <c r="K193" s="177" t="s">
        <v>716</v>
      </c>
      <c r="L193" s="56"/>
      <c r="M193" s="8"/>
    </row>
    <row r="194" spans="1:13" s="3" customFormat="1" ht="12" customHeight="1" x14ac:dyDescent="0.15">
      <c r="A194" s="29" t="s">
        <v>466</v>
      </c>
      <c r="F194" s="103" t="s">
        <v>136</v>
      </c>
      <c r="G194" s="103" t="s">
        <v>137</v>
      </c>
      <c r="H194" s="103" t="s">
        <v>138</v>
      </c>
      <c r="I194" s="103" t="s">
        <v>139</v>
      </c>
      <c r="J194" s="103" t="s">
        <v>140</v>
      </c>
      <c r="K194" s="103" t="s">
        <v>141</v>
      </c>
      <c r="L194" s="103" t="s">
        <v>91</v>
      </c>
      <c r="M194" s="8"/>
    </row>
    <row r="195" spans="1:13" s="3" customFormat="1" ht="12" customHeight="1" x14ac:dyDescent="0.15">
      <c r="A195" s="30" t="s">
        <v>682</v>
      </c>
      <c r="F195" s="24" t="s">
        <v>327</v>
      </c>
      <c r="G195" s="24" t="s">
        <v>327</v>
      </c>
      <c r="H195" s="24" t="s">
        <v>327</v>
      </c>
      <c r="I195" s="24" t="s">
        <v>327</v>
      </c>
      <c r="J195" s="24" t="s">
        <v>327</v>
      </c>
      <c r="K195" s="24" t="s">
        <v>327</v>
      </c>
      <c r="L195" s="24" t="s">
        <v>327</v>
      </c>
      <c r="M195" s="8"/>
    </row>
    <row r="196" spans="1:13" s="3" customFormat="1" ht="12" customHeight="1" x14ac:dyDescent="0.15">
      <c r="A196" s="1" t="s">
        <v>289</v>
      </c>
      <c r="B196" s="2" t="s">
        <v>202</v>
      </c>
      <c r="C196" s="2" t="s">
        <v>162</v>
      </c>
      <c r="D196" s="2" t="s">
        <v>282</v>
      </c>
      <c r="E196" s="6">
        <v>1100</v>
      </c>
      <c r="F196" s="18">
        <f>1972682+58500+1</f>
        <v>2031183</v>
      </c>
      <c r="G196" s="18">
        <f>786487+41263+1</f>
        <v>827751</v>
      </c>
      <c r="H196" s="18">
        <f>1131+4843</f>
        <v>5974</v>
      </c>
      <c r="I196" s="18">
        <v>44243</v>
      </c>
      <c r="J196" s="18">
        <f>3426+12931</f>
        <v>16357</v>
      </c>
      <c r="K196" s="18">
        <v>427</v>
      </c>
      <c r="L196" s="19">
        <f>SUM(F196:K196)</f>
        <v>2925935</v>
      </c>
      <c r="M196" s="8" t="s">
        <v>58</v>
      </c>
    </row>
    <row r="197" spans="1:13" s="3" customFormat="1" ht="12" customHeight="1" x14ac:dyDescent="0.15">
      <c r="A197" s="1" t="s">
        <v>290</v>
      </c>
      <c r="B197" s="2" t="s">
        <v>202</v>
      </c>
      <c r="C197" s="2" t="s">
        <v>163</v>
      </c>
      <c r="D197" s="2" t="s">
        <v>282</v>
      </c>
      <c r="E197" s="6">
        <v>1200</v>
      </c>
      <c r="F197" s="18">
        <f>905934+10798</f>
        <v>916732</v>
      </c>
      <c r="G197" s="18">
        <f>267577+1739</f>
        <v>269316</v>
      </c>
      <c r="H197" s="18">
        <f>51532+47699</f>
        <v>99231</v>
      </c>
      <c r="I197" s="18">
        <f>1924+2772</f>
        <v>4696</v>
      </c>
      <c r="J197" s="18">
        <f>9303+2309</f>
        <v>11612</v>
      </c>
      <c r="K197" s="18">
        <v>131</v>
      </c>
      <c r="L197" s="19">
        <f>SUM(F197:K197)</f>
        <v>1301718</v>
      </c>
      <c r="M197" s="8" t="s">
        <v>59</v>
      </c>
    </row>
    <row r="198" spans="1:13" s="3" customFormat="1" ht="12" customHeight="1" x14ac:dyDescent="0.15">
      <c r="A198" s="1" t="s">
        <v>291</v>
      </c>
      <c r="B198" s="2" t="s">
        <v>202</v>
      </c>
      <c r="C198" s="2" t="s">
        <v>490</v>
      </c>
      <c r="D198" s="2" t="s">
        <v>282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456</v>
      </c>
      <c r="B199" s="2" t="s">
        <v>202</v>
      </c>
      <c r="C199" s="2" t="s">
        <v>329</v>
      </c>
      <c r="D199" s="2" t="s">
        <v>282</v>
      </c>
      <c r="E199" s="6">
        <v>1400</v>
      </c>
      <c r="F199" s="18">
        <v>2113</v>
      </c>
      <c r="G199" s="18">
        <v>253</v>
      </c>
      <c r="H199" s="18"/>
      <c r="I199" s="18"/>
      <c r="J199" s="18"/>
      <c r="K199" s="18">
        <v>0</v>
      </c>
      <c r="L199" s="19">
        <f>SUM(F199:K199)</f>
        <v>2366</v>
      </c>
      <c r="M199" s="8"/>
    </row>
    <row r="200" spans="1:13" s="3" customFormat="1" ht="12" customHeight="1" x14ac:dyDescent="0.15">
      <c r="A200" s="30" t="s">
        <v>203</v>
      </c>
      <c r="E200" s="6"/>
      <c r="F200" s="24" t="s">
        <v>327</v>
      </c>
      <c r="G200" s="24" t="s">
        <v>327</v>
      </c>
      <c r="H200" s="24" t="s">
        <v>327</v>
      </c>
      <c r="I200" s="24" t="s">
        <v>327</v>
      </c>
      <c r="J200" s="24" t="s">
        <v>327</v>
      </c>
      <c r="K200" s="24" t="s">
        <v>327</v>
      </c>
      <c r="L200" s="24" t="s">
        <v>327</v>
      </c>
      <c r="M200" s="8"/>
    </row>
    <row r="201" spans="1:13" s="3" customFormat="1" ht="12" customHeight="1" x14ac:dyDescent="0.15">
      <c r="A201" s="1" t="s">
        <v>457</v>
      </c>
      <c r="B201" s="2" t="s">
        <v>202</v>
      </c>
      <c r="C201" s="2" t="s">
        <v>330</v>
      </c>
      <c r="D201" s="2" t="s">
        <v>282</v>
      </c>
      <c r="E201" s="6">
        <v>2100</v>
      </c>
      <c r="F201" s="18">
        <f>369354+86021+1</f>
        <v>455376</v>
      </c>
      <c r="G201" s="18">
        <f>137574+21871+1</f>
        <v>159446</v>
      </c>
      <c r="H201" s="18">
        <f>260+26916+701</f>
        <v>27877</v>
      </c>
      <c r="I201" s="18">
        <f>3304+511</f>
        <v>3815</v>
      </c>
      <c r="J201" s="18">
        <f>90+1340</f>
        <v>1430</v>
      </c>
      <c r="K201" s="18">
        <v>0</v>
      </c>
      <c r="L201" s="19">
        <f t="shared" ref="L201:L207" si="0">SUM(F201:K201)</f>
        <v>647944</v>
      </c>
      <c r="M201" s="8" t="s">
        <v>58</v>
      </c>
    </row>
    <row r="202" spans="1:13" s="3" customFormat="1" ht="12" customHeight="1" x14ac:dyDescent="0.15">
      <c r="A202" s="1" t="s">
        <v>458</v>
      </c>
      <c r="B202" s="2" t="s">
        <v>202</v>
      </c>
      <c r="C202" s="2" t="s">
        <v>331</v>
      </c>
      <c r="D202" s="2" t="s">
        <v>282</v>
      </c>
      <c r="E202" s="6">
        <v>2200</v>
      </c>
      <c r="F202" s="18">
        <f>115360+80359-1</f>
        <v>195718</v>
      </c>
      <c r="G202" s="18">
        <f>35674+28695-1</f>
        <v>64368</v>
      </c>
      <c r="H202" s="18">
        <f>22057+579+25242+3007</f>
        <v>50885</v>
      </c>
      <c r="I202" s="18">
        <f>22959+8895</f>
        <v>31854</v>
      </c>
      <c r="J202" s="18">
        <f>32644+26792</f>
        <v>59436</v>
      </c>
      <c r="K202" s="18">
        <f>2942+7067</f>
        <v>10009</v>
      </c>
      <c r="L202" s="19">
        <f t="shared" si="0"/>
        <v>412270</v>
      </c>
      <c r="M202" s="8"/>
    </row>
    <row r="203" spans="1:13" s="3" customFormat="1" ht="12" customHeight="1" x14ac:dyDescent="0.15">
      <c r="A203" s="1" t="s">
        <v>459</v>
      </c>
      <c r="B203" s="2" t="s">
        <v>202</v>
      </c>
      <c r="C203" s="2" t="s">
        <v>332</v>
      </c>
      <c r="D203" s="2" t="s">
        <v>282</v>
      </c>
      <c r="E203" s="6">
        <v>2300</v>
      </c>
      <c r="F203" s="18">
        <v>151326</v>
      </c>
      <c r="G203" s="18">
        <v>61789</v>
      </c>
      <c r="H203" s="18">
        <f>26669+327+12186+1</f>
        <v>39183</v>
      </c>
      <c r="I203" s="18">
        <v>6083</v>
      </c>
      <c r="J203" s="18">
        <v>1297</v>
      </c>
      <c r="K203" s="18">
        <v>7925</v>
      </c>
      <c r="L203" s="19">
        <f t="shared" si="0"/>
        <v>267603</v>
      </c>
      <c r="M203" s="8"/>
    </row>
    <row r="204" spans="1:13" s="3" customFormat="1" ht="12" customHeight="1" x14ac:dyDescent="0.15">
      <c r="A204" s="1" t="s">
        <v>460</v>
      </c>
      <c r="B204" s="2" t="s">
        <v>202</v>
      </c>
      <c r="C204" s="2" t="s">
        <v>333</v>
      </c>
      <c r="D204" s="2" t="s">
        <v>282</v>
      </c>
      <c r="E204" s="6">
        <v>2400</v>
      </c>
      <c r="F204" s="18">
        <v>246312</v>
      </c>
      <c r="G204" s="18">
        <f>120164-1</f>
        <v>120163</v>
      </c>
      <c r="H204" s="18">
        <v>16157</v>
      </c>
      <c r="I204" s="18">
        <v>2139</v>
      </c>
      <c r="J204" s="18">
        <v>1297</v>
      </c>
      <c r="K204" s="18">
        <v>2014</v>
      </c>
      <c r="L204" s="19">
        <f t="shared" si="0"/>
        <v>388082</v>
      </c>
      <c r="M204" s="8" t="s">
        <v>58</v>
      </c>
    </row>
    <row r="205" spans="1:13" s="3" customFormat="1" ht="12" customHeight="1" x14ac:dyDescent="0.15">
      <c r="A205" s="1" t="s">
        <v>461</v>
      </c>
      <c r="B205" s="2" t="s">
        <v>202</v>
      </c>
      <c r="C205" s="2" t="s">
        <v>334</v>
      </c>
      <c r="D205" s="2" t="s">
        <v>282</v>
      </c>
      <c r="E205" s="6">
        <v>2500</v>
      </c>
      <c r="F205" s="18">
        <v>87154</v>
      </c>
      <c r="G205" s="18">
        <v>31281</v>
      </c>
      <c r="H205" s="18"/>
      <c r="I205" s="18"/>
      <c r="J205" s="18"/>
      <c r="K205" s="18"/>
      <c r="L205" s="19">
        <f t="shared" si="0"/>
        <v>118435</v>
      </c>
      <c r="M205" s="8"/>
    </row>
    <row r="206" spans="1:13" s="3" customFormat="1" ht="12" customHeight="1" x14ac:dyDescent="0.15">
      <c r="A206" s="1" t="s">
        <v>462</v>
      </c>
      <c r="B206" s="2" t="s">
        <v>202</v>
      </c>
      <c r="C206" s="2" t="s">
        <v>335</v>
      </c>
      <c r="D206" s="2" t="s">
        <v>282</v>
      </c>
      <c r="E206" s="6">
        <v>2600</v>
      </c>
      <c r="F206" s="18">
        <f>182470+26467</f>
        <v>208937</v>
      </c>
      <c r="G206" s="18">
        <f>101052+11573</f>
        <v>112625</v>
      </c>
      <c r="H206" s="18">
        <f>53170+2000+1100+21850</f>
        <v>78120</v>
      </c>
      <c r="I206" s="18">
        <f>150852+4159</f>
        <v>155011</v>
      </c>
      <c r="J206" s="18">
        <f>13492+6130</f>
        <v>19622</v>
      </c>
      <c r="K206" s="18"/>
      <c r="L206" s="19">
        <f t="shared" si="0"/>
        <v>574315</v>
      </c>
      <c r="M206" s="8" t="s">
        <v>58</v>
      </c>
    </row>
    <row r="207" spans="1:13" s="3" customFormat="1" ht="12" customHeight="1" x14ac:dyDescent="0.15">
      <c r="A207" s="1" t="s">
        <v>463</v>
      </c>
      <c r="B207" s="2" t="s">
        <v>202</v>
      </c>
      <c r="C207" s="2" t="s">
        <v>336</v>
      </c>
      <c r="D207" s="2" t="s">
        <v>282</v>
      </c>
      <c r="E207" s="6">
        <v>2700</v>
      </c>
      <c r="F207" s="18">
        <f>3237+17166</f>
        <v>20403</v>
      </c>
      <c r="G207" s="18">
        <f>504+6028</f>
        <v>6532</v>
      </c>
      <c r="H207" s="18">
        <f>1800+4616+198059</f>
        <v>204475</v>
      </c>
      <c r="I207" s="18">
        <f>113+107+10779</f>
        <v>10999</v>
      </c>
      <c r="J207" s="18">
        <v>3235</v>
      </c>
      <c r="K207" s="18">
        <v>162</v>
      </c>
      <c r="L207" s="19">
        <f t="shared" si="0"/>
        <v>245806</v>
      </c>
      <c r="M207" s="8" t="s">
        <v>58</v>
      </c>
    </row>
    <row r="208" spans="1:13" s="3" customFormat="1" ht="12" customHeight="1" x14ac:dyDescent="0.15">
      <c r="A208" s="1" t="s">
        <v>297</v>
      </c>
      <c r="B208" s="2" t="s">
        <v>202</v>
      </c>
      <c r="C208" s="2" t="s">
        <v>204</v>
      </c>
      <c r="D208" s="2" t="s">
        <v>282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465</v>
      </c>
      <c r="B209" s="2" t="s">
        <v>202</v>
      </c>
      <c r="C209" s="2" t="s">
        <v>205</v>
      </c>
      <c r="D209" s="2" t="s">
        <v>282</v>
      </c>
      <c r="E209" s="6">
        <v>2900</v>
      </c>
      <c r="F209" s="24" t="s">
        <v>327</v>
      </c>
      <c r="G209" s="24" t="s">
        <v>327</v>
      </c>
      <c r="H209" s="24" t="s">
        <v>327</v>
      </c>
      <c r="I209" s="24" t="s">
        <v>327</v>
      </c>
      <c r="J209" s="24" t="s">
        <v>327</v>
      </c>
      <c r="K209" s="24" t="s">
        <v>327</v>
      </c>
      <c r="L209" s="24" t="s">
        <v>327</v>
      </c>
      <c r="M209" s="8"/>
    </row>
    <row r="210" spans="1:13" s="3" customFormat="1" ht="12" customHeight="1" thickTop="1" x14ac:dyDescent="0.15">
      <c r="A210" s="38" t="s">
        <v>270</v>
      </c>
      <c r="B210" s="39" t="s">
        <v>202</v>
      </c>
      <c r="C210" s="39" t="s">
        <v>206</v>
      </c>
      <c r="D210" s="39" t="s">
        <v>282</v>
      </c>
      <c r="E210" s="39"/>
      <c r="F210" s="41">
        <f t="shared" ref="F210:L210" si="1">SUM(F196:F209)</f>
        <v>4315254</v>
      </c>
      <c r="G210" s="41">
        <f t="shared" si="1"/>
        <v>1653524</v>
      </c>
      <c r="H210" s="41">
        <f t="shared" si="1"/>
        <v>521902</v>
      </c>
      <c r="I210" s="41">
        <f t="shared" si="1"/>
        <v>258840</v>
      </c>
      <c r="J210" s="41">
        <f t="shared" si="1"/>
        <v>114286</v>
      </c>
      <c r="K210" s="41">
        <f t="shared" si="1"/>
        <v>20668</v>
      </c>
      <c r="L210" s="41">
        <f t="shared" si="1"/>
        <v>6884474</v>
      </c>
      <c r="M210" s="8" t="s">
        <v>58</v>
      </c>
    </row>
    <row r="211" spans="1:13" s="3" customFormat="1" ht="12" customHeight="1" x14ac:dyDescent="0.15">
      <c r="A211" s="55" t="s">
        <v>488</v>
      </c>
      <c r="B211" s="36"/>
      <c r="C211" s="36"/>
      <c r="D211" s="36"/>
      <c r="E211" s="36"/>
      <c r="F211" s="177" t="s">
        <v>594</v>
      </c>
      <c r="G211" s="177" t="s">
        <v>595</v>
      </c>
      <c r="H211" s="177" t="s">
        <v>596</v>
      </c>
      <c r="I211" s="177" t="s">
        <v>597</v>
      </c>
      <c r="J211" s="177" t="s">
        <v>598</v>
      </c>
      <c r="K211" s="177" t="s">
        <v>716</v>
      </c>
      <c r="L211" s="67"/>
      <c r="M211" s="8"/>
    </row>
    <row r="212" spans="1:13" s="3" customFormat="1" ht="12" customHeight="1" x14ac:dyDescent="0.15">
      <c r="A212" s="29" t="s">
        <v>608</v>
      </c>
      <c r="B212" s="7"/>
      <c r="C212" s="7"/>
      <c r="D212" s="7"/>
      <c r="E212" s="7"/>
      <c r="F212" s="103" t="s">
        <v>136</v>
      </c>
      <c r="G212" s="103" t="s">
        <v>137</v>
      </c>
      <c r="H212" s="103" t="s">
        <v>138</v>
      </c>
      <c r="I212" s="103" t="s">
        <v>139</v>
      </c>
      <c r="J212" s="103" t="s">
        <v>140</v>
      </c>
      <c r="K212" s="103" t="s">
        <v>141</v>
      </c>
      <c r="L212" s="103" t="s">
        <v>91</v>
      </c>
      <c r="M212" s="8" t="s">
        <v>58</v>
      </c>
    </row>
    <row r="213" spans="1:13" s="3" customFormat="1" ht="12" customHeight="1" x14ac:dyDescent="0.15">
      <c r="A213" s="30" t="s">
        <v>682</v>
      </c>
      <c r="F213" s="24" t="s">
        <v>327</v>
      </c>
      <c r="G213" s="24" t="s">
        <v>327</v>
      </c>
      <c r="H213" s="24" t="s">
        <v>327</v>
      </c>
      <c r="I213" s="24" t="s">
        <v>327</v>
      </c>
      <c r="J213" s="24" t="s">
        <v>327</v>
      </c>
      <c r="K213" s="24" t="s">
        <v>327</v>
      </c>
      <c r="L213" s="24" t="s">
        <v>327</v>
      </c>
      <c r="M213" s="8"/>
    </row>
    <row r="214" spans="1:13" s="3" customFormat="1" ht="12" customHeight="1" x14ac:dyDescent="0.15">
      <c r="A214" s="1" t="s">
        <v>289</v>
      </c>
      <c r="B214" s="2" t="s">
        <v>207</v>
      </c>
      <c r="C214" s="2" t="s">
        <v>162</v>
      </c>
      <c r="D214" s="2" t="s">
        <v>282</v>
      </c>
      <c r="E214" s="6">
        <v>1100</v>
      </c>
      <c r="F214" s="18">
        <f>846657+19536</f>
        <v>866193</v>
      </c>
      <c r="G214" s="18">
        <f>346674+13780</f>
        <v>360454</v>
      </c>
      <c r="H214" s="18">
        <f>903+1617</f>
        <v>2520</v>
      </c>
      <c r="I214" s="18">
        <v>17439</v>
      </c>
      <c r="J214" s="18">
        <f>3622+4318</f>
        <v>7940</v>
      </c>
      <c r="K214" s="18">
        <v>404</v>
      </c>
      <c r="L214" s="19">
        <f>SUM(F214:K214)</f>
        <v>1254950</v>
      </c>
      <c r="M214" s="8"/>
    </row>
    <row r="215" spans="1:13" s="3" customFormat="1" ht="12" customHeight="1" x14ac:dyDescent="0.15">
      <c r="A215" s="1" t="s">
        <v>290</v>
      </c>
      <c r="B215" s="2" t="s">
        <v>207</v>
      </c>
      <c r="C215" s="2" t="s">
        <v>163</v>
      </c>
      <c r="D215" s="2" t="s">
        <v>282</v>
      </c>
      <c r="E215" s="6">
        <v>1200</v>
      </c>
      <c r="F215" s="18">
        <f>348233+3606</f>
        <v>351839</v>
      </c>
      <c r="G215" s="18">
        <f>147404+581</f>
        <v>147985</v>
      </c>
      <c r="H215" s="18">
        <f>12423+71</f>
        <v>12494</v>
      </c>
      <c r="I215" s="18">
        <f>1002+926</f>
        <v>1928</v>
      </c>
      <c r="J215" s="18">
        <v>771</v>
      </c>
      <c r="K215" s="18">
        <f>80+44</f>
        <v>124</v>
      </c>
      <c r="L215" s="19">
        <f>SUM(F215:K215)</f>
        <v>515141</v>
      </c>
      <c r="M215" s="8"/>
    </row>
    <row r="216" spans="1:13" s="3" customFormat="1" ht="12" customHeight="1" x14ac:dyDescent="0.15">
      <c r="A216" s="1" t="s">
        <v>291</v>
      </c>
      <c r="B216" s="2" t="s">
        <v>207</v>
      </c>
      <c r="C216" s="2" t="s">
        <v>490</v>
      </c>
      <c r="D216" s="2" t="s">
        <v>282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456</v>
      </c>
      <c r="B217" s="2" t="s">
        <v>207</v>
      </c>
      <c r="C217" s="2" t="s">
        <v>329</v>
      </c>
      <c r="D217" s="2" t="s">
        <v>282</v>
      </c>
      <c r="E217" s="6">
        <v>1400</v>
      </c>
      <c r="F217" s="18">
        <v>25982</v>
      </c>
      <c r="G217" s="18">
        <v>4271</v>
      </c>
      <c r="H217" s="18">
        <v>8640</v>
      </c>
      <c r="I217" s="18">
        <v>1850</v>
      </c>
      <c r="J217" s="18">
        <v>400</v>
      </c>
      <c r="K217" s="18">
        <v>0</v>
      </c>
      <c r="L217" s="19">
        <f>SUM(F217:K217)</f>
        <v>41143</v>
      </c>
      <c r="M217" s="8"/>
    </row>
    <row r="218" spans="1:13" s="3" customFormat="1" ht="12" customHeight="1" x14ac:dyDescent="0.15">
      <c r="A218" s="30" t="s">
        <v>203</v>
      </c>
      <c r="B218" s="1" t="s">
        <v>337</v>
      </c>
      <c r="E218" s="6"/>
      <c r="F218" s="24" t="s">
        <v>327</v>
      </c>
      <c r="G218" s="24" t="s">
        <v>327</v>
      </c>
      <c r="H218" s="24" t="s">
        <v>327</v>
      </c>
      <c r="I218" s="24" t="s">
        <v>327</v>
      </c>
      <c r="J218" s="24" t="s">
        <v>327</v>
      </c>
      <c r="K218" s="24" t="s">
        <v>327</v>
      </c>
      <c r="L218" s="24" t="s">
        <v>327</v>
      </c>
      <c r="M218" s="8"/>
    </row>
    <row r="219" spans="1:13" s="3" customFormat="1" ht="12" customHeight="1" x14ac:dyDescent="0.15">
      <c r="A219" s="1" t="s">
        <v>457</v>
      </c>
      <c r="B219" s="2" t="s">
        <v>207</v>
      </c>
      <c r="C219" s="2" t="s">
        <v>330</v>
      </c>
      <c r="D219" s="2" t="s">
        <v>282</v>
      </c>
      <c r="E219" s="6">
        <v>2100</v>
      </c>
      <c r="F219" s="18">
        <f>76797+28727</f>
        <v>105524</v>
      </c>
      <c r="G219" s="18">
        <f>40098+7304</f>
        <v>47402</v>
      </c>
      <c r="H219" s="18">
        <f>3354+234</f>
        <v>3588</v>
      </c>
      <c r="I219" s="18">
        <f>984+171</f>
        <v>1155</v>
      </c>
      <c r="J219" s="18">
        <f>111+171</f>
        <v>282</v>
      </c>
      <c r="K219" s="18">
        <v>0</v>
      </c>
      <c r="L219" s="19">
        <f t="shared" ref="L219:L225" si="2">SUM(F219:K219)</f>
        <v>157951</v>
      </c>
      <c r="M219" s="8"/>
    </row>
    <row r="220" spans="1:13" s="3" customFormat="1" ht="12" customHeight="1" x14ac:dyDescent="0.15">
      <c r="A220" s="1" t="s">
        <v>458</v>
      </c>
      <c r="B220" s="2" t="s">
        <v>207</v>
      </c>
      <c r="C220" s="2" t="s">
        <v>331</v>
      </c>
      <c r="D220" s="2" t="s">
        <v>282</v>
      </c>
      <c r="E220" s="6">
        <v>2200</v>
      </c>
      <c r="F220" s="18">
        <f>36596+26836</f>
        <v>63432</v>
      </c>
      <c r="G220" s="18">
        <f>19283+9583</f>
        <v>28866</v>
      </c>
      <c r="H220" s="18">
        <f>7628+7971+8430+1004</f>
        <v>25033</v>
      </c>
      <c r="I220" s="18">
        <f>9850+2970</f>
        <v>12820</v>
      </c>
      <c r="J220" s="18">
        <f>3492+8947</f>
        <v>12439</v>
      </c>
      <c r="K220" s="18">
        <f>536+2360</f>
        <v>2896</v>
      </c>
      <c r="L220" s="19">
        <f t="shared" si="2"/>
        <v>145486</v>
      </c>
      <c r="M220" s="8"/>
    </row>
    <row r="221" spans="1:13" s="3" customFormat="1" ht="12" customHeight="1" x14ac:dyDescent="0.15">
      <c r="A221" s="1" t="s">
        <v>459</v>
      </c>
      <c r="B221" s="2" t="s">
        <v>207</v>
      </c>
      <c r="C221" s="2" t="s">
        <v>332</v>
      </c>
      <c r="D221" s="2" t="s">
        <v>282</v>
      </c>
      <c r="E221" s="6">
        <v>2300</v>
      </c>
      <c r="F221" s="18">
        <v>50536</v>
      </c>
      <c r="G221" s="18">
        <v>20635</v>
      </c>
      <c r="H221" s="18">
        <f>8906+109+4070</f>
        <v>13085</v>
      </c>
      <c r="I221" s="18">
        <v>2032</v>
      </c>
      <c r="J221" s="18">
        <v>433</v>
      </c>
      <c r="K221" s="18">
        <v>2647</v>
      </c>
      <c r="L221" s="19">
        <f t="shared" si="2"/>
        <v>89368</v>
      </c>
      <c r="M221" s="8"/>
    </row>
    <row r="222" spans="1:13" s="3" customFormat="1" ht="12" customHeight="1" x14ac:dyDescent="0.15">
      <c r="A222" s="1" t="s">
        <v>460</v>
      </c>
      <c r="B222" s="2" t="s">
        <v>207</v>
      </c>
      <c r="C222" s="2" t="s">
        <v>333</v>
      </c>
      <c r="D222" s="2" t="s">
        <v>282</v>
      </c>
      <c r="E222" s="6">
        <v>2400</v>
      </c>
      <c r="F222" s="18">
        <v>88046</v>
      </c>
      <c r="G222" s="18">
        <v>41297</v>
      </c>
      <c r="H222" s="18">
        <v>6404</v>
      </c>
      <c r="I222" s="18">
        <v>947</v>
      </c>
      <c r="J222" s="18">
        <v>477</v>
      </c>
      <c r="K222" s="18">
        <v>1978</v>
      </c>
      <c r="L222" s="19">
        <f t="shared" si="2"/>
        <v>139149</v>
      </c>
      <c r="M222" s="8"/>
    </row>
    <row r="223" spans="1:13" s="3" customFormat="1" ht="12" customHeight="1" x14ac:dyDescent="0.15">
      <c r="A223" s="1" t="s">
        <v>461</v>
      </c>
      <c r="B223" s="2" t="s">
        <v>207</v>
      </c>
      <c r="C223" s="2" t="s">
        <v>334</v>
      </c>
      <c r="D223" s="2" t="s">
        <v>282</v>
      </c>
      <c r="E223" s="6">
        <v>2500</v>
      </c>
      <c r="F223" s="18">
        <v>29106</v>
      </c>
      <c r="G223" s="18">
        <v>10446</v>
      </c>
      <c r="H223" s="18"/>
      <c r="I223" s="18"/>
      <c r="J223" s="18"/>
      <c r="K223" s="18"/>
      <c r="L223" s="19">
        <f t="shared" si="2"/>
        <v>39552</v>
      </c>
      <c r="M223" s="8"/>
    </row>
    <row r="224" spans="1:13" s="3" customFormat="1" ht="12" customHeight="1" x14ac:dyDescent="0.15">
      <c r="A224" s="1" t="s">
        <v>462</v>
      </c>
      <c r="B224" s="2" t="s">
        <v>207</v>
      </c>
      <c r="C224" s="2" t="s">
        <v>335</v>
      </c>
      <c r="D224" s="2" t="s">
        <v>282</v>
      </c>
      <c r="E224" s="6">
        <v>2600</v>
      </c>
      <c r="F224" s="18">
        <f>34318+8839</f>
        <v>43157</v>
      </c>
      <c r="G224" s="18">
        <f>12843+3865</f>
        <v>16708</v>
      </c>
      <c r="H224" s="18">
        <f>15413+668+367+7297</f>
        <v>23745</v>
      </c>
      <c r="I224" s="18">
        <f>50950+1389</f>
        <v>52339</v>
      </c>
      <c r="J224" s="18">
        <f>1497+2047</f>
        <v>3544</v>
      </c>
      <c r="K224" s="18">
        <v>0</v>
      </c>
      <c r="L224" s="19">
        <f t="shared" si="2"/>
        <v>139493</v>
      </c>
      <c r="M224" s="8" t="s">
        <v>58</v>
      </c>
    </row>
    <row r="225" spans="1:13" s="3" customFormat="1" ht="12" customHeight="1" x14ac:dyDescent="0.15">
      <c r="A225" s="1" t="s">
        <v>463</v>
      </c>
      <c r="B225" s="2" t="s">
        <v>207</v>
      </c>
      <c r="C225" s="2" t="s">
        <v>336</v>
      </c>
      <c r="D225" s="2" t="s">
        <v>282</v>
      </c>
      <c r="E225" s="6">
        <v>2700</v>
      </c>
      <c r="F225" s="18">
        <f>278+3538</f>
        <v>3816</v>
      </c>
      <c r="G225" s="18">
        <f>41+1120</f>
        <v>1161</v>
      </c>
      <c r="H225" s="18">
        <f>9651+1542+66143</f>
        <v>77336</v>
      </c>
      <c r="I225" s="18">
        <f>238+3600</f>
        <v>3838</v>
      </c>
      <c r="J225" s="18">
        <v>1080</v>
      </c>
      <c r="K225" s="18">
        <v>54</v>
      </c>
      <c r="L225" s="19">
        <f t="shared" si="2"/>
        <v>87285</v>
      </c>
      <c r="M225" s="8" t="s">
        <v>58</v>
      </c>
    </row>
    <row r="226" spans="1:13" s="3" customFormat="1" ht="12" customHeight="1" x14ac:dyDescent="0.15">
      <c r="A226" s="1" t="s">
        <v>297</v>
      </c>
      <c r="B226" s="2" t="s">
        <v>207</v>
      </c>
      <c r="C226" s="2" t="s">
        <v>204</v>
      </c>
      <c r="D226" s="2" t="s">
        <v>282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465</v>
      </c>
      <c r="B227" s="2" t="s">
        <v>207</v>
      </c>
      <c r="C227" s="2" t="s">
        <v>205</v>
      </c>
      <c r="D227" s="2" t="s">
        <v>282</v>
      </c>
      <c r="E227" s="6">
        <v>2900</v>
      </c>
      <c r="F227" s="24" t="s">
        <v>327</v>
      </c>
      <c r="G227" s="24" t="s">
        <v>327</v>
      </c>
      <c r="H227" s="24" t="s">
        <v>327</v>
      </c>
      <c r="I227" s="24" t="s">
        <v>327</v>
      </c>
      <c r="J227" s="24" t="s">
        <v>327</v>
      </c>
      <c r="K227" s="24" t="s">
        <v>327</v>
      </c>
      <c r="L227" s="24" t="s">
        <v>327</v>
      </c>
      <c r="M227" s="8"/>
    </row>
    <row r="228" spans="1:13" s="3" customFormat="1" ht="12" customHeight="1" thickTop="1" x14ac:dyDescent="0.15">
      <c r="A228" s="38" t="s">
        <v>482</v>
      </c>
      <c r="B228" s="39" t="s">
        <v>207</v>
      </c>
      <c r="C228" s="39" t="s">
        <v>206</v>
      </c>
      <c r="D228" s="39" t="s">
        <v>282</v>
      </c>
      <c r="E228" s="44"/>
      <c r="F228" s="41">
        <f t="shared" ref="F228:L228" si="3">SUM(F214:F227)</f>
        <v>1627631</v>
      </c>
      <c r="G228" s="41">
        <f>SUM(G214:G227)</f>
        <v>679225</v>
      </c>
      <c r="H228" s="41">
        <f>SUM(H214:H227)</f>
        <v>172845</v>
      </c>
      <c r="I228" s="41">
        <f>SUM(I214:I227)</f>
        <v>94348</v>
      </c>
      <c r="J228" s="41">
        <f>SUM(J214:J227)</f>
        <v>27366</v>
      </c>
      <c r="K228" s="41">
        <f t="shared" si="3"/>
        <v>8103</v>
      </c>
      <c r="L228" s="41">
        <f t="shared" si="3"/>
        <v>2609518</v>
      </c>
      <c r="M228" s="8" t="s">
        <v>58</v>
      </c>
    </row>
    <row r="229" spans="1:13" s="3" customFormat="1" ht="12" customHeight="1" x14ac:dyDescent="0.15">
      <c r="A229" s="55" t="s">
        <v>488</v>
      </c>
      <c r="B229" s="36"/>
      <c r="C229" s="75"/>
      <c r="D229" s="75"/>
      <c r="E229" s="75"/>
      <c r="F229" s="177" t="s">
        <v>594</v>
      </c>
      <c r="G229" s="177" t="s">
        <v>595</v>
      </c>
      <c r="H229" s="177" t="s">
        <v>596</v>
      </c>
      <c r="I229" s="177" t="s">
        <v>597</v>
      </c>
      <c r="J229" s="177" t="s">
        <v>598</v>
      </c>
      <c r="K229" s="177" t="s">
        <v>716</v>
      </c>
      <c r="L229" s="67"/>
      <c r="M229" s="8" t="s">
        <v>58</v>
      </c>
    </row>
    <row r="230" spans="1:13" s="3" customFormat="1" ht="12" customHeight="1" x14ac:dyDescent="0.15">
      <c r="A230" s="29" t="s">
        <v>609</v>
      </c>
      <c r="F230" s="103" t="s">
        <v>136</v>
      </c>
      <c r="G230" s="103" t="s">
        <v>137</v>
      </c>
      <c r="H230" s="103" t="s">
        <v>138</v>
      </c>
      <c r="I230" s="103" t="s">
        <v>139</v>
      </c>
      <c r="J230" s="103" t="s">
        <v>140</v>
      </c>
      <c r="K230" s="103" t="s">
        <v>141</v>
      </c>
      <c r="L230" s="103" t="s">
        <v>91</v>
      </c>
      <c r="M230" s="8"/>
    </row>
    <row r="231" spans="1:13" s="3" customFormat="1" ht="12" customHeight="1" x14ac:dyDescent="0.15">
      <c r="A231" s="30" t="s">
        <v>48</v>
      </c>
      <c r="F231" s="24" t="s">
        <v>327</v>
      </c>
      <c r="G231" s="24" t="s">
        <v>327</v>
      </c>
      <c r="H231" s="24" t="s">
        <v>327</v>
      </c>
      <c r="I231" s="24" t="s">
        <v>327</v>
      </c>
      <c r="J231" s="24" t="s">
        <v>327</v>
      </c>
      <c r="K231" s="24" t="s">
        <v>327</v>
      </c>
      <c r="L231" s="24" t="s">
        <v>327</v>
      </c>
      <c r="M231" s="8"/>
    </row>
    <row r="232" spans="1:13" s="3" customFormat="1" ht="12" customHeight="1" x14ac:dyDescent="0.15">
      <c r="A232" s="1" t="s">
        <v>289</v>
      </c>
      <c r="B232" s="2" t="s">
        <v>211</v>
      </c>
      <c r="C232" s="2" t="s">
        <v>162</v>
      </c>
      <c r="D232" s="2" t="s">
        <v>282</v>
      </c>
      <c r="E232" s="6">
        <v>1100</v>
      </c>
      <c r="F232" s="18">
        <f>1517608+40106</f>
        <v>1557714</v>
      </c>
      <c r="G232" s="18">
        <f>654429+28289</f>
        <v>682718</v>
      </c>
      <c r="H232" s="18">
        <f>40064+3320</f>
        <v>43384</v>
      </c>
      <c r="I232" s="18">
        <v>53329</v>
      </c>
      <c r="J232" s="18">
        <f>5955+8865</f>
        <v>14820</v>
      </c>
      <c r="K232" s="18">
        <v>2609</v>
      </c>
      <c r="L232" s="19">
        <f>SUM(F232:K232)</f>
        <v>2354574</v>
      </c>
      <c r="M232" s="8"/>
    </row>
    <row r="233" spans="1:13" s="3" customFormat="1" ht="12" customHeight="1" x14ac:dyDescent="0.15">
      <c r="A233" s="1" t="s">
        <v>290</v>
      </c>
      <c r="B233" s="2" t="s">
        <v>211</v>
      </c>
      <c r="C233" s="2" t="s">
        <v>163</v>
      </c>
      <c r="D233" s="2" t="s">
        <v>282</v>
      </c>
      <c r="E233" s="6">
        <v>1200</v>
      </c>
      <c r="F233" s="18">
        <f>369293+7403</f>
        <v>376696</v>
      </c>
      <c r="G233" s="18">
        <f>122810+1192</f>
        <v>124002</v>
      </c>
      <c r="H233" s="18">
        <f>590+3191+483</f>
        <v>4264</v>
      </c>
      <c r="I233" s="18">
        <f>3496+1901</f>
        <v>5397</v>
      </c>
      <c r="J233" s="18">
        <f>75+1583</f>
        <v>1658</v>
      </c>
      <c r="K233" s="18">
        <v>90</v>
      </c>
      <c r="L233" s="19">
        <f>SUM(F233:K233)</f>
        <v>512107</v>
      </c>
      <c r="M233" s="8"/>
    </row>
    <row r="234" spans="1:13" s="3" customFormat="1" ht="12" customHeight="1" x14ac:dyDescent="0.15">
      <c r="A234" s="1" t="s">
        <v>291</v>
      </c>
      <c r="B234" s="2" t="s">
        <v>211</v>
      </c>
      <c r="C234" s="2" t="s">
        <v>490</v>
      </c>
      <c r="D234" s="2" t="s">
        <v>282</v>
      </c>
      <c r="E234" s="6">
        <v>1300</v>
      </c>
      <c r="F234" s="18"/>
      <c r="G234" s="18"/>
      <c r="H234" s="18">
        <v>12828</v>
      </c>
      <c r="I234" s="18"/>
      <c r="J234" s="18"/>
      <c r="K234" s="18"/>
      <c r="L234" s="19">
        <f>SUM(F234:K234)</f>
        <v>12828</v>
      </c>
      <c r="M234" s="8"/>
    </row>
    <row r="235" spans="1:13" s="3" customFormat="1" ht="12" customHeight="1" x14ac:dyDescent="0.15">
      <c r="A235" s="1" t="s">
        <v>456</v>
      </c>
      <c r="B235" s="2" t="s">
        <v>211</v>
      </c>
      <c r="C235" s="2" t="s">
        <v>329</v>
      </c>
      <c r="D235" s="2" t="s">
        <v>282</v>
      </c>
      <c r="E235" s="6">
        <v>1400</v>
      </c>
      <c r="F235" s="18">
        <v>157131</v>
      </c>
      <c r="G235" s="18">
        <v>31315</v>
      </c>
      <c r="H235" s="18">
        <v>48749</v>
      </c>
      <c r="I235" s="18">
        <v>11604</v>
      </c>
      <c r="J235" s="18">
        <v>4809</v>
      </c>
      <c r="K235" s="18">
        <v>2700</v>
      </c>
      <c r="L235" s="19">
        <f>SUM(F235:K235)</f>
        <v>256308</v>
      </c>
      <c r="M235" s="8"/>
    </row>
    <row r="236" spans="1:13" s="3" customFormat="1" ht="12" customHeight="1" x14ac:dyDescent="0.15">
      <c r="A236" s="30" t="s">
        <v>203</v>
      </c>
      <c r="C236" s="23"/>
      <c r="E236" s="6"/>
      <c r="F236" s="24" t="s">
        <v>327</v>
      </c>
      <c r="G236" s="24" t="s">
        <v>327</v>
      </c>
      <c r="H236" s="24" t="s">
        <v>327</v>
      </c>
      <c r="I236" s="24" t="s">
        <v>327</v>
      </c>
      <c r="J236" s="24" t="s">
        <v>327</v>
      </c>
      <c r="K236" s="24" t="s">
        <v>327</v>
      </c>
      <c r="L236" s="24" t="s">
        <v>327</v>
      </c>
      <c r="M236" s="8"/>
    </row>
    <row r="237" spans="1:13" s="3" customFormat="1" ht="12" customHeight="1" x14ac:dyDescent="0.15">
      <c r="A237" s="1" t="s">
        <v>457</v>
      </c>
      <c r="B237" s="2" t="s">
        <v>211</v>
      </c>
      <c r="C237" s="2" t="s">
        <v>330</v>
      </c>
      <c r="D237" s="2" t="s">
        <v>282</v>
      </c>
      <c r="E237" s="6">
        <v>2100</v>
      </c>
      <c r="F237" s="18">
        <f>192431+35000+61655</f>
        <v>289086</v>
      </c>
      <c r="G237" s="18">
        <f>63658+41633-35000+15255</f>
        <v>85546</v>
      </c>
      <c r="H237" s="18">
        <f>263+481</f>
        <v>744</v>
      </c>
      <c r="I237" s="18">
        <f>1548+350</f>
        <v>1898</v>
      </c>
      <c r="J237" s="18">
        <v>351</v>
      </c>
      <c r="K237" s="18">
        <v>0</v>
      </c>
      <c r="L237" s="19">
        <f t="shared" ref="L237:L243" si="4">SUM(F237:K237)</f>
        <v>377625</v>
      </c>
      <c r="M237" s="8"/>
    </row>
    <row r="238" spans="1:13" s="3" customFormat="1" ht="12" customHeight="1" x14ac:dyDescent="0.15">
      <c r="A238" s="1" t="s">
        <v>458</v>
      </c>
      <c r="B238" s="2" t="s">
        <v>211</v>
      </c>
      <c r="C238" s="2" t="s">
        <v>331</v>
      </c>
      <c r="D238" s="2" t="s">
        <v>282</v>
      </c>
      <c r="E238" s="6">
        <v>2200</v>
      </c>
      <c r="F238" s="18">
        <f>37564+55093</f>
        <v>92657</v>
      </c>
      <c r="G238" s="18">
        <f>22563+19673</f>
        <v>42236</v>
      </c>
      <c r="H238" s="18">
        <f>18211+16187+17306+2062</f>
        <v>53766</v>
      </c>
      <c r="I238" s="18">
        <f>23619+6098</f>
        <v>29717</v>
      </c>
      <c r="J238" s="18">
        <f>15268+18368</f>
        <v>33636</v>
      </c>
      <c r="K238" s="18">
        <f>804+4845</f>
        <v>5649</v>
      </c>
      <c r="L238" s="19">
        <f t="shared" si="4"/>
        <v>257661</v>
      </c>
      <c r="M238" s="8"/>
    </row>
    <row r="239" spans="1:13" s="3" customFormat="1" ht="12" customHeight="1" x14ac:dyDescent="0.15">
      <c r="A239" s="1" t="s">
        <v>459</v>
      </c>
      <c r="B239" s="2" t="s">
        <v>211</v>
      </c>
      <c r="C239" s="2" t="s">
        <v>332</v>
      </c>
      <c r="D239" s="2" t="s">
        <v>282</v>
      </c>
      <c r="E239" s="6">
        <v>2300</v>
      </c>
      <c r="F239" s="18">
        <v>103746</v>
      </c>
      <c r="G239" s="18">
        <v>42361</v>
      </c>
      <c r="H239" s="18">
        <f>18284+224+8354</f>
        <v>26862</v>
      </c>
      <c r="I239" s="18">
        <v>4171</v>
      </c>
      <c r="J239" s="18">
        <v>890</v>
      </c>
      <c r="K239" s="18">
        <v>5433</v>
      </c>
      <c r="L239" s="19">
        <f t="shared" si="4"/>
        <v>183463</v>
      </c>
      <c r="M239" s="8"/>
    </row>
    <row r="240" spans="1:13" s="3" customFormat="1" ht="12" customHeight="1" x14ac:dyDescent="0.15">
      <c r="A240" s="1" t="s">
        <v>460</v>
      </c>
      <c r="B240" s="2" t="s">
        <v>211</v>
      </c>
      <c r="C240" s="2" t="s">
        <v>333</v>
      </c>
      <c r="D240" s="2" t="s">
        <v>282</v>
      </c>
      <c r="E240" s="6">
        <v>2400</v>
      </c>
      <c r="F240" s="18">
        <v>159078</v>
      </c>
      <c r="G240" s="18">
        <v>68436</v>
      </c>
      <c r="H240" s="18">
        <v>14481</v>
      </c>
      <c r="I240" s="18">
        <v>9694</v>
      </c>
      <c r="J240" s="18">
        <v>881</v>
      </c>
      <c r="K240" s="18">
        <v>3294</v>
      </c>
      <c r="L240" s="19">
        <f t="shared" si="4"/>
        <v>255864</v>
      </c>
      <c r="M240" s="8"/>
    </row>
    <row r="241" spans="1:13" s="3" customFormat="1" ht="12" customHeight="1" x14ac:dyDescent="0.15">
      <c r="A241" s="1" t="s">
        <v>461</v>
      </c>
      <c r="B241" s="2" t="s">
        <v>211</v>
      </c>
      <c r="C241" s="2" t="s">
        <v>334</v>
      </c>
      <c r="D241" s="2" t="s">
        <v>282</v>
      </c>
      <c r="E241" s="6">
        <v>2500</v>
      </c>
      <c r="F241" s="18">
        <v>59751</v>
      </c>
      <c r="G241" s="18">
        <v>21446</v>
      </c>
      <c r="H241" s="18"/>
      <c r="I241" s="18"/>
      <c r="J241" s="18"/>
      <c r="K241" s="18"/>
      <c r="L241" s="19">
        <f t="shared" si="4"/>
        <v>81197</v>
      </c>
      <c r="M241" s="8"/>
    </row>
    <row r="242" spans="1:13" s="3" customFormat="1" ht="12" customHeight="1" x14ac:dyDescent="0.15">
      <c r="A242" s="1" t="s">
        <v>462</v>
      </c>
      <c r="B242" s="2" t="s">
        <v>211</v>
      </c>
      <c r="C242" s="2" t="s">
        <v>335</v>
      </c>
      <c r="D242" s="2" t="s">
        <v>282</v>
      </c>
      <c r="E242" s="6">
        <v>2600</v>
      </c>
      <c r="F242" s="18">
        <f>146631+18145</f>
        <v>164776</v>
      </c>
      <c r="G242" s="18">
        <f>61778+7934</f>
        <v>69712</v>
      </c>
      <c r="H242" s="18">
        <f>24879+1371+754+14980</f>
        <v>41984</v>
      </c>
      <c r="I242" s="18">
        <f>101904+2851</f>
        <v>104755</v>
      </c>
      <c r="J242" s="18">
        <f>2945+4203</f>
        <v>7148</v>
      </c>
      <c r="K242" s="18">
        <v>0</v>
      </c>
      <c r="L242" s="19">
        <f t="shared" si="4"/>
        <v>388375</v>
      </c>
      <c r="M242" s="8"/>
    </row>
    <row r="243" spans="1:13" s="3" customFormat="1" ht="12" customHeight="1" x14ac:dyDescent="0.15">
      <c r="A243" s="1" t="s">
        <v>463</v>
      </c>
      <c r="B243" s="2" t="s">
        <v>211</v>
      </c>
      <c r="C243" s="2" t="s">
        <v>336</v>
      </c>
      <c r="D243" s="2" t="s">
        <v>282</v>
      </c>
      <c r="E243" s="6">
        <v>2700</v>
      </c>
      <c r="F243" s="18">
        <f>725+7262</f>
        <v>7987</v>
      </c>
      <c r="G243" s="18">
        <f>119+2478</f>
        <v>2597</v>
      </c>
      <c r="H243" s="18">
        <f>46355+3165+159922</f>
        <v>209442</v>
      </c>
      <c r="I243" s="18">
        <f>197+7990</f>
        <v>8187</v>
      </c>
      <c r="J243" s="18">
        <v>2218</v>
      </c>
      <c r="K243" s="18">
        <v>111</v>
      </c>
      <c r="L243" s="19">
        <f t="shared" si="4"/>
        <v>230542</v>
      </c>
      <c r="M243" s="8"/>
    </row>
    <row r="244" spans="1:13" s="3" customFormat="1" ht="12" customHeight="1" x14ac:dyDescent="0.15">
      <c r="A244" s="1" t="s">
        <v>297</v>
      </c>
      <c r="B244" s="2" t="s">
        <v>211</v>
      </c>
      <c r="C244" s="2" t="s">
        <v>204</v>
      </c>
      <c r="D244" s="2" t="s">
        <v>282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465</v>
      </c>
      <c r="B245" s="2" t="s">
        <v>211</v>
      </c>
      <c r="C245" s="2" t="s">
        <v>205</v>
      </c>
      <c r="D245" s="2" t="s">
        <v>282</v>
      </c>
      <c r="E245" s="6">
        <v>2900</v>
      </c>
      <c r="F245" s="24" t="s">
        <v>327</v>
      </c>
      <c r="G245" s="24" t="s">
        <v>327</v>
      </c>
      <c r="H245" s="24" t="s">
        <v>327</v>
      </c>
      <c r="I245" s="24" t="s">
        <v>327</v>
      </c>
      <c r="J245" s="24" t="s">
        <v>327</v>
      </c>
      <c r="K245" s="24" t="s">
        <v>327</v>
      </c>
      <c r="L245" s="24" t="s">
        <v>327</v>
      </c>
      <c r="M245" s="8"/>
    </row>
    <row r="246" spans="1:13" s="3" customFormat="1" ht="12" customHeight="1" thickTop="1" x14ac:dyDescent="0.15">
      <c r="A246" s="38" t="s">
        <v>586</v>
      </c>
      <c r="B246" s="39" t="s">
        <v>211</v>
      </c>
      <c r="C246" s="40">
        <v>14</v>
      </c>
      <c r="D246" s="39" t="s">
        <v>282</v>
      </c>
      <c r="E246" s="40"/>
      <c r="F246" s="41">
        <f t="shared" ref="F246:L246" si="5">SUM(F232:F245)</f>
        <v>2968622</v>
      </c>
      <c r="G246" s="41">
        <f t="shared" si="5"/>
        <v>1170369</v>
      </c>
      <c r="H246" s="41">
        <f t="shared" si="5"/>
        <v>456504</v>
      </c>
      <c r="I246" s="41">
        <f t="shared" si="5"/>
        <v>228752</v>
      </c>
      <c r="J246" s="41">
        <f t="shared" si="5"/>
        <v>66411</v>
      </c>
      <c r="K246" s="41">
        <f t="shared" si="5"/>
        <v>19886</v>
      </c>
      <c r="L246" s="41">
        <f t="shared" si="5"/>
        <v>4910544</v>
      </c>
      <c r="M246" s="8" t="s">
        <v>58</v>
      </c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594</v>
      </c>
      <c r="G247" s="177" t="s">
        <v>595</v>
      </c>
      <c r="H247" s="177" t="s">
        <v>596</v>
      </c>
      <c r="I247" s="177" t="s">
        <v>597</v>
      </c>
      <c r="J247" s="177" t="s">
        <v>598</v>
      </c>
      <c r="K247" s="177" t="s">
        <v>716</v>
      </c>
      <c r="L247" s="67"/>
      <c r="M247" s="8" t="s">
        <v>58</v>
      </c>
    </row>
    <row r="248" spans="1:13" s="3" customFormat="1" ht="12" customHeight="1" x14ac:dyDescent="0.15">
      <c r="A248" s="29" t="s">
        <v>212</v>
      </c>
      <c r="B248" s="7"/>
      <c r="C248" s="7"/>
      <c r="D248" s="7"/>
      <c r="E248" s="7"/>
      <c r="F248" s="103" t="s">
        <v>136</v>
      </c>
      <c r="G248" s="103" t="s">
        <v>137</v>
      </c>
      <c r="H248" s="103" t="s">
        <v>138</v>
      </c>
      <c r="I248" s="103" t="s">
        <v>139</v>
      </c>
      <c r="J248" s="103" t="s">
        <v>140</v>
      </c>
      <c r="K248" s="103" t="s">
        <v>141</v>
      </c>
      <c r="L248" s="103" t="s">
        <v>91</v>
      </c>
      <c r="M248" s="8"/>
    </row>
    <row r="249" spans="1:13" s="3" customFormat="1" ht="12" customHeight="1" x14ac:dyDescent="0.15">
      <c r="A249" s="1" t="s">
        <v>688</v>
      </c>
      <c r="B249" s="2" t="s">
        <v>213</v>
      </c>
      <c r="C249" s="2" t="s">
        <v>328</v>
      </c>
      <c r="D249" s="2" t="s">
        <v>282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214</v>
      </c>
      <c r="B250" s="2" t="s">
        <v>213</v>
      </c>
      <c r="C250" s="2" t="s">
        <v>173</v>
      </c>
      <c r="D250" s="2" t="s">
        <v>282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725</v>
      </c>
      <c r="B251" s="2" t="s">
        <v>213</v>
      </c>
      <c r="C251" s="2" t="s">
        <v>346</v>
      </c>
      <c r="D251" s="2" t="s">
        <v>282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726</v>
      </c>
      <c r="B252" s="2" t="s">
        <v>213</v>
      </c>
      <c r="C252" s="2" t="s">
        <v>352</v>
      </c>
      <c r="D252" s="2" t="s">
        <v>282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412</v>
      </c>
      <c r="B253" s="2" t="s">
        <v>213</v>
      </c>
      <c r="C253" s="2" t="s">
        <v>355</v>
      </c>
      <c r="D253" s="2" t="s">
        <v>282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727</v>
      </c>
      <c r="B254" s="2" t="s">
        <v>213</v>
      </c>
      <c r="C254" s="6">
        <v>6</v>
      </c>
      <c r="D254" s="2" t="s">
        <v>282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484</v>
      </c>
      <c r="B255" s="40">
        <v>10</v>
      </c>
      <c r="C255" s="40">
        <v>7</v>
      </c>
      <c r="D255" s="39" t="s">
        <v>282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485</v>
      </c>
      <c r="B256" s="40">
        <v>10</v>
      </c>
      <c r="C256" s="40">
        <v>8</v>
      </c>
      <c r="D256" s="39" t="s">
        <v>282</v>
      </c>
      <c r="E256" s="40"/>
      <c r="F256" s="41">
        <f t="shared" ref="F256:L256" si="8">F210+F228+F246+F255</f>
        <v>8911507</v>
      </c>
      <c r="G256" s="41">
        <f t="shared" si="8"/>
        <v>3503118</v>
      </c>
      <c r="H256" s="41">
        <f t="shared" si="8"/>
        <v>1151251</v>
      </c>
      <c r="I256" s="41">
        <f t="shared" si="8"/>
        <v>581940</v>
      </c>
      <c r="J256" s="41">
        <f t="shared" si="8"/>
        <v>208063</v>
      </c>
      <c r="K256" s="41">
        <f t="shared" si="8"/>
        <v>48657</v>
      </c>
      <c r="L256" s="41">
        <f t="shared" si="8"/>
        <v>14404536</v>
      </c>
      <c r="M256" s="8"/>
    </row>
    <row r="257" spans="1:13" s="3" customFormat="1" ht="12" customHeight="1" x14ac:dyDescent="0.15">
      <c r="A257" s="34" t="s">
        <v>215</v>
      </c>
      <c r="F257" s="13"/>
      <c r="G257" s="13"/>
      <c r="H257" s="13"/>
      <c r="I257" s="13"/>
      <c r="J257" s="13"/>
      <c r="K257" s="14" t="s">
        <v>325</v>
      </c>
      <c r="L257" s="14" t="s">
        <v>216</v>
      </c>
      <c r="M257" s="8"/>
    </row>
    <row r="258" spans="1:13" s="3" customFormat="1" ht="12" customHeight="1" x14ac:dyDescent="0.15">
      <c r="A258" s="30" t="s">
        <v>486</v>
      </c>
      <c r="E258" s="6">
        <v>5100</v>
      </c>
      <c r="F258" s="24" t="s">
        <v>327</v>
      </c>
      <c r="G258" s="24" t="s">
        <v>327</v>
      </c>
      <c r="H258" s="24" t="s">
        <v>327</v>
      </c>
      <c r="I258" s="24" t="s">
        <v>327</v>
      </c>
      <c r="J258" s="24" t="s">
        <v>327</v>
      </c>
      <c r="K258" s="24" t="s">
        <v>327</v>
      </c>
      <c r="L258" s="24" t="s">
        <v>327</v>
      </c>
      <c r="M258" s="8"/>
    </row>
    <row r="259" spans="1:13" s="3" customFormat="1" ht="12" customHeight="1" x14ac:dyDescent="0.15">
      <c r="A259" s="1" t="s">
        <v>545</v>
      </c>
      <c r="B259" s="2" t="s">
        <v>213</v>
      </c>
      <c r="C259" s="6">
        <v>9</v>
      </c>
      <c r="D259" s="2" t="s">
        <v>282</v>
      </c>
      <c r="E259" s="6">
        <v>5110</v>
      </c>
      <c r="F259" s="24" t="s">
        <v>327</v>
      </c>
      <c r="G259" s="24" t="s">
        <v>327</v>
      </c>
      <c r="H259" s="24" t="s">
        <v>327</v>
      </c>
      <c r="I259" s="24" t="s">
        <v>327</v>
      </c>
      <c r="J259" s="24" t="s">
        <v>327</v>
      </c>
      <c r="K259" s="18">
        <v>415000</v>
      </c>
      <c r="L259" s="19">
        <f>SUM(F259:K259)</f>
        <v>415000</v>
      </c>
      <c r="M259" s="8"/>
    </row>
    <row r="260" spans="1:13" ht="12" customHeight="1" x14ac:dyDescent="0.2">
      <c r="A260" s="1" t="s">
        <v>557</v>
      </c>
      <c r="B260" s="2" t="s">
        <v>213</v>
      </c>
      <c r="C260" s="6">
        <v>10</v>
      </c>
      <c r="D260" s="2" t="s">
        <v>282</v>
      </c>
      <c r="E260" s="6">
        <v>5120</v>
      </c>
      <c r="F260" s="24" t="s">
        <v>327</v>
      </c>
      <c r="G260" s="24" t="s">
        <v>327</v>
      </c>
      <c r="H260" s="24" t="s">
        <v>327</v>
      </c>
      <c r="I260" s="24" t="s">
        <v>327</v>
      </c>
      <c r="J260" s="24" t="s">
        <v>327</v>
      </c>
      <c r="K260" s="18">
        <v>131025</v>
      </c>
      <c r="L260" s="19">
        <f>SUM(F260:K260)</f>
        <v>131025</v>
      </c>
    </row>
    <row r="261" spans="1:13" ht="12" customHeight="1" x14ac:dyDescent="0.2">
      <c r="A261" s="30" t="s">
        <v>217</v>
      </c>
      <c r="B261" s="3"/>
      <c r="C261" s="3"/>
      <c r="D261" s="3"/>
      <c r="E261" s="6">
        <v>5200</v>
      </c>
      <c r="F261" s="24" t="s">
        <v>327</v>
      </c>
      <c r="G261" s="24" t="s">
        <v>327</v>
      </c>
      <c r="H261" s="24" t="s">
        <v>327</v>
      </c>
      <c r="I261" s="24" t="s">
        <v>327</v>
      </c>
      <c r="J261" s="24" t="s">
        <v>327</v>
      </c>
      <c r="K261" s="24" t="s">
        <v>327</v>
      </c>
      <c r="L261" s="24" t="s">
        <v>327</v>
      </c>
    </row>
    <row r="262" spans="1:13" ht="12" customHeight="1" x14ac:dyDescent="0.2">
      <c r="A262" s="3" t="s">
        <v>558</v>
      </c>
      <c r="B262" s="6">
        <v>10</v>
      </c>
      <c r="C262" s="6">
        <v>11</v>
      </c>
      <c r="D262" s="2" t="s">
        <v>282</v>
      </c>
      <c r="E262" s="6">
        <v>5221</v>
      </c>
      <c r="F262" s="24" t="s">
        <v>327</v>
      </c>
      <c r="G262" s="24" t="s">
        <v>327</v>
      </c>
      <c r="H262" s="24" t="s">
        <v>327</v>
      </c>
      <c r="I262" s="24" t="s">
        <v>327</v>
      </c>
      <c r="J262" s="24" t="s">
        <v>327</v>
      </c>
      <c r="K262" s="18">
        <v>83253</v>
      </c>
      <c r="L262" s="19">
        <f>SUM(F262:K262)</f>
        <v>83253</v>
      </c>
    </row>
    <row r="263" spans="1:13" ht="12" customHeight="1" x14ac:dyDescent="0.2">
      <c r="A263" s="3" t="s">
        <v>633</v>
      </c>
      <c r="B263" s="6">
        <v>10</v>
      </c>
      <c r="C263" s="6">
        <v>12</v>
      </c>
      <c r="D263" s="2" t="s">
        <v>282</v>
      </c>
      <c r="E263" s="6">
        <v>5222</v>
      </c>
      <c r="F263" s="24" t="s">
        <v>327</v>
      </c>
      <c r="G263" s="24" t="s">
        <v>327</v>
      </c>
      <c r="H263" s="24" t="s">
        <v>327</v>
      </c>
      <c r="I263" s="24" t="s">
        <v>327</v>
      </c>
      <c r="J263" s="24" t="s">
        <v>327</v>
      </c>
      <c r="K263" s="18">
        <v>1887</v>
      </c>
      <c r="L263" s="19">
        <f t="shared" ref="L263:L269" si="9">SUM(F263:K263)</f>
        <v>1887</v>
      </c>
    </row>
    <row r="264" spans="1:13" ht="12" customHeight="1" x14ac:dyDescent="0.2">
      <c r="A264" s="3" t="s">
        <v>559</v>
      </c>
      <c r="B264" s="6">
        <v>10</v>
      </c>
      <c r="C264" s="6">
        <v>13</v>
      </c>
      <c r="D264" s="2" t="s">
        <v>282</v>
      </c>
      <c r="E264" s="6">
        <v>5230</v>
      </c>
      <c r="F264" s="24" t="s">
        <v>327</v>
      </c>
      <c r="G264" s="24" t="s">
        <v>327</v>
      </c>
      <c r="H264" s="24" t="s">
        <v>327</v>
      </c>
      <c r="I264" s="24" t="s">
        <v>327</v>
      </c>
      <c r="J264" s="24" t="s">
        <v>327</v>
      </c>
      <c r="K264" s="18">
        <v>0</v>
      </c>
      <c r="L264" s="19">
        <f t="shared" si="9"/>
        <v>0</v>
      </c>
    </row>
    <row r="265" spans="1:13" ht="12" customHeight="1" x14ac:dyDescent="0.2">
      <c r="A265" s="3" t="s">
        <v>424</v>
      </c>
      <c r="B265" s="6">
        <v>10</v>
      </c>
      <c r="C265" s="6">
        <v>14</v>
      </c>
      <c r="D265" s="2" t="s">
        <v>282</v>
      </c>
      <c r="E265" s="6">
        <v>5250</v>
      </c>
      <c r="F265" s="24" t="s">
        <v>327</v>
      </c>
      <c r="G265" s="24" t="s">
        <v>327</v>
      </c>
      <c r="H265" s="24" t="s">
        <v>327</v>
      </c>
      <c r="I265" s="24" t="s">
        <v>327</v>
      </c>
      <c r="J265" s="24" t="s">
        <v>327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446</v>
      </c>
      <c r="B266" s="6"/>
      <c r="C266" s="6"/>
      <c r="D266" s="6"/>
      <c r="E266" s="6">
        <v>5300</v>
      </c>
      <c r="F266" s="24" t="s">
        <v>327</v>
      </c>
      <c r="G266" s="24" t="s">
        <v>327</v>
      </c>
      <c r="H266" s="24" t="s">
        <v>327</v>
      </c>
      <c r="I266" s="24" t="s">
        <v>327</v>
      </c>
      <c r="J266" s="24" t="s">
        <v>327</v>
      </c>
      <c r="K266" s="24" t="s">
        <v>327</v>
      </c>
      <c r="L266" s="24" t="s">
        <v>327</v>
      </c>
    </row>
    <row r="267" spans="1:13" ht="12" customHeight="1" x14ac:dyDescent="0.2">
      <c r="A267" s="3" t="s">
        <v>425</v>
      </c>
      <c r="B267" s="6">
        <v>10</v>
      </c>
      <c r="C267" s="6">
        <v>15</v>
      </c>
      <c r="D267" s="2" t="s">
        <v>282</v>
      </c>
      <c r="E267" s="6">
        <v>5310</v>
      </c>
      <c r="F267" s="24" t="s">
        <v>327</v>
      </c>
      <c r="G267" s="24" t="s">
        <v>327</v>
      </c>
      <c r="H267" s="24" t="s">
        <v>327</v>
      </c>
      <c r="I267" s="24" t="s">
        <v>327</v>
      </c>
      <c r="J267" s="24" t="s">
        <v>327</v>
      </c>
      <c r="K267" s="18"/>
      <c r="L267" s="19">
        <f t="shared" si="9"/>
        <v>0</v>
      </c>
    </row>
    <row r="268" spans="1:13" ht="12" customHeight="1" thickBot="1" x14ac:dyDescent="0.25">
      <c r="A268" s="3" t="s">
        <v>562</v>
      </c>
      <c r="B268" s="6">
        <v>10</v>
      </c>
      <c r="C268" s="6">
        <v>16</v>
      </c>
      <c r="D268" s="2" t="s">
        <v>282</v>
      </c>
      <c r="E268" s="6">
        <v>5390</v>
      </c>
      <c r="F268" s="24" t="s">
        <v>327</v>
      </c>
      <c r="G268" s="24" t="s">
        <v>327</v>
      </c>
      <c r="H268" s="24" t="s">
        <v>327</v>
      </c>
      <c r="I268" s="24" t="s">
        <v>327</v>
      </c>
      <c r="J268" s="24" t="s">
        <v>327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440</v>
      </c>
      <c r="B269" s="40">
        <v>10</v>
      </c>
      <c r="C269" s="40">
        <v>17</v>
      </c>
      <c r="D269" s="39" t="s">
        <v>282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681165</v>
      </c>
      <c r="L269" s="41">
        <f t="shared" si="9"/>
        <v>681165</v>
      </c>
    </row>
    <row r="270" spans="1:13" s="3" customFormat="1" ht="12" customHeight="1" thickTop="1" x14ac:dyDescent="0.2">
      <c r="A270" s="43" t="s">
        <v>487</v>
      </c>
      <c r="B270" s="40">
        <v>10</v>
      </c>
      <c r="C270" s="40">
        <v>18</v>
      </c>
      <c r="D270" s="39" t="s">
        <v>282</v>
      </c>
      <c r="E270" s="40"/>
      <c r="F270" s="42">
        <f t="shared" ref="F270:L270" si="11">F256+F269</f>
        <v>8911507</v>
      </c>
      <c r="G270" s="42">
        <f t="shared" si="11"/>
        <v>3503118</v>
      </c>
      <c r="H270" s="42">
        <f t="shared" si="11"/>
        <v>1151251</v>
      </c>
      <c r="I270" s="42">
        <f t="shared" si="11"/>
        <v>581940</v>
      </c>
      <c r="J270" s="42">
        <f t="shared" si="11"/>
        <v>208063</v>
      </c>
      <c r="K270" s="42">
        <f t="shared" si="11"/>
        <v>729822</v>
      </c>
      <c r="L270" s="42">
        <f t="shared" si="11"/>
        <v>15085701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489</v>
      </c>
      <c r="F272" s="177" t="s">
        <v>594</v>
      </c>
      <c r="G272" s="177" t="s">
        <v>595</v>
      </c>
      <c r="H272" s="177" t="s">
        <v>596</v>
      </c>
      <c r="I272" s="177" t="s">
        <v>597</v>
      </c>
      <c r="J272" s="177" t="s">
        <v>598</v>
      </c>
      <c r="K272" s="177" t="s">
        <v>716</v>
      </c>
      <c r="M272" s="8"/>
    </row>
    <row r="273" spans="1:13" s="3" customFormat="1" ht="12" customHeight="1" x14ac:dyDescent="0.15">
      <c r="A273" s="29" t="s">
        <v>466</v>
      </c>
      <c r="B273" s="34"/>
      <c r="C273" s="34"/>
      <c r="D273" s="34"/>
      <c r="E273" s="34"/>
      <c r="F273" s="103" t="s">
        <v>136</v>
      </c>
      <c r="G273" s="103" t="s">
        <v>137</v>
      </c>
      <c r="H273" s="103" t="s">
        <v>138</v>
      </c>
      <c r="I273" s="103" t="s">
        <v>139</v>
      </c>
      <c r="J273" s="103" t="s">
        <v>140</v>
      </c>
      <c r="K273" s="103" t="s">
        <v>141</v>
      </c>
      <c r="L273" s="103" t="s">
        <v>91</v>
      </c>
      <c r="M273" s="8"/>
    </row>
    <row r="274" spans="1:13" s="3" customFormat="1" ht="12" customHeight="1" x14ac:dyDescent="0.15">
      <c r="A274" s="30" t="s">
        <v>48</v>
      </c>
      <c r="F274" s="24" t="s">
        <v>327</v>
      </c>
      <c r="G274" s="24" t="s">
        <v>327</v>
      </c>
      <c r="H274" s="24" t="s">
        <v>327</v>
      </c>
      <c r="I274" s="24" t="s">
        <v>327</v>
      </c>
      <c r="J274" s="24" t="s">
        <v>327</v>
      </c>
      <c r="K274" s="24" t="s">
        <v>327</v>
      </c>
      <c r="L274" s="24" t="s">
        <v>327</v>
      </c>
      <c r="M274" s="8"/>
    </row>
    <row r="275" spans="1:13" s="3" customFormat="1" ht="12" customHeight="1" x14ac:dyDescent="0.15">
      <c r="A275" s="1" t="s">
        <v>289</v>
      </c>
      <c r="B275" s="2" t="s">
        <v>377</v>
      </c>
      <c r="C275" s="2" t="s">
        <v>162</v>
      </c>
      <c r="D275" s="2" t="s">
        <v>282</v>
      </c>
      <c r="E275" s="6">
        <v>1100</v>
      </c>
      <c r="F275" s="18">
        <f>79983+1342-1</f>
        <v>81324</v>
      </c>
      <c r="G275" s="18">
        <f>28335+254-1</f>
        <v>28588</v>
      </c>
      <c r="H275" s="18">
        <v>4235</v>
      </c>
      <c r="I275" s="18">
        <v>2646</v>
      </c>
      <c r="J275" s="18">
        <v>3623</v>
      </c>
      <c r="K275" s="18">
        <v>1029</v>
      </c>
      <c r="L275" s="19">
        <f>SUM(F275:K275)</f>
        <v>121445</v>
      </c>
      <c r="M275" s="8"/>
    </row>
    <row r="276" spans="1:13" s="3" customFormat="1" ht="12" customHeight="1" x14ac:dyDescent="0.15">
      <c r="A276" s="1" t="s">
        <v>290</v>
      </c>
      <c r="B276" s="2" t="s">
        <v>377</v>
      </c>
      <c r="C276" s="2" t="s">
        <v>163</v>
      </c>
      <c r="D276" s="2" t="s">
        <v>282</v>
      </c>
      <c r="E276" s="6">
        <v>1200</v>
      </c>
      <c r="F276" s="18">
        <v>67217</v>
      </c>
      <c r="G276" s="18">
        <v>32068</v>
      </c>
      <c r="H276" s="18"/>
      <c r="I276" s="18">
        <v>810</v>
      </c>
      <c r="J276" s="18"/>
      <c r="K276" s="18"/>
      <c r="L276" s="19">
        <f>SUM(F276:K276)</f>
        <v>100095</v>
      </c>
      <c r="M276" s="8"/>
    </row>
    <row r="277" spans="1:13" s="3" customFormat="1" ht="12" customHeight="1" x14ac:dyDescent="0.15">
      <c r="A277" s="1" t="s">
        <v>291</v>
      </c>
      <c r="B277" s="2" t="s">
        <v>377</v>
      </c>
      <c r="C277" s="2" t="s">
        <v>490</v>
      </c>
      <c r="D277" s="2" t="s">
        <v>282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456</v>
      </c>
      <c r="B278" s="2" t="s">
        <v>377</v>
      </c>
      <c r="C278" s="2" t="s">
        <v>329</v>
      </c>
      <c r="D278" s="2" t="s">
        <v>282</v>
      </c>
      <c r="E278" s="6">
        <v>1400</v>
      </c>
      <c r="F278" s="18"/>
      <c r="G278" s="18"/>
      <c r="H278" s="18">
        <v>198</v>
      </c>
      <c r="I278" s="18">
        <v>218</v>
      </c>
      <c r="J278" s="18"/>
      <c r="K278" s="18"/>
      <c r="L278" s="19">
        <f>SUM(F278:K278)</f>
        <v>416</v>
      </c>
      <c r="M278" s="8"/>
    </row>
    <row r="279" spans="1:13" s="3" customFormat="1" ht="12" customHeight="1" x14ac:dyDescent="0.15">
      <c r="A279" s="30" t="s">
        <v>203</v>
      </c>
      <c r="E279" s="6"/>
      <c r="F279" s="24" t="s">
        <v>327</v>
      </c>
      <c r="G279" s="24" t="s">
        <v>327</v>
      </c>
      <c r="H279" s="24" t="s">
        <v>327</v>
      </c>
      <c r="I279" s="24" t="s">
        <v>327</v>
      </c>
      <c r="J279" s="24" t="s">
        <v>327</v>
      </c>
      <c r="K279" s="24" t="s">
        <v>327</v>
      </c>
      <c r="L279" s="24" t="s">
        <v>327</v>
      </c>
      <c r="M279" s="8"/>
    </row>
    <row r="280" spans="1:13" s="3" customFormat="1" ht="12" customHeight="1" x14ac:dyDescent="0.15">
      <c r="A280" s="1" t="s">
        <v>457</v>
      </c>
      <c r="B280" s="2" t="s">
        <v>377</v>
      </c>
      <c r="C280" s="2" t="s">
        <v>330</v>
      </c>
      <c r="D280" s="2" t="s">
        <v>282</v>
      </c>
      <c r="E280" s="6">
        <v>2100</v>
      </c>
      <c r="F280" s="18"/>
      <c r="G280" s="18"/>
      <c r="H280" s="18"/>
      <c r="I280" s="18">
        <v>616</v>
      </c>
      <c r="J280" s="18">
        <v>276</v>
      </c>
      <c r="K280" s="18"/>
      <c r="L280" s="19">
        <f t="shared" ref="L280:L286" si="12">SUM(F280:K280)</f>
        <v>892</v>
      </c>
      <c r="M280" s="8"/>
    </row>
    <row r="281" spans="1:13" s="3" customFormat="1" ht="12" customHeight="1" x14ac:dyDescent="0.15">
      <c r="A281" s="1" t="s">
        <v>458</v>
      </c>
      <c r="B281" s="2" t="s">
        <v>377</v>
      </c>
      <c r="C281" s="2" t="s">
        <v>331</v>
      </c>
      <c r="D281" s="2" t="s">
        <v>282</v>
      </c>
      <c r="E281" s="6">
        <v>2200</v>
      </c>
      <c r="F281" s="18">
        <v>13360</v>
      </c>
      <c r="G281" s="18">
        <v>3687</v>
      </c>
      <c r="H281" s="18">
        <v>8025</v>
      </c>
      <c r="I281" s="18">
        <f>205+693</f>
        <v>898</v>
      </c>
      <c r="J281" s="18">
        <v>905</v>
      </c>
      <c r="K281" s="18"/>
      <c r="L281" s="19">
        <f t="shared" si="12"/>
        <v>26875</v>
      </c>
      <c r="M281" s="8"/>
    </row>
    <row r="282" spans="1:13" s="3" customFormat="1" ht="12" customHeight="1" x14ac:dyDescent="0.15">
      <c r="A282" s="1" t="s">
        <v>459</v>
      </c>
      <c r="B282" s="2" t="s">
        <v>377</v>
      </c>
      <c r="C282" s="2" t="s">
        <v>332</v>
      </c>
      <c r="D282" s="2" t="s">
        <v>282</v>
      </c>
      <c r="E282" s="6">
        <v>2300</v>
      </c>
      <c r="F282" s="18"/>
      <c r="G282" s="18"/>
      <c r="H282" s="18"/>
      <c r="I282" s="18">
        <v>1149</v>
      </c>
      <c r="J282" s="18"/>
      <c r="K282" s="18"/>
      <c r="L282" s="19">
        <f t="shared" si="12"/>
        <v>1149</v>
      </c>
      <c r="M282" s="8"/>
    </row>
    <row r="283" spans="1:13" s="3" customFormat="1" ht="12" customHeight="1" x14ac:dyDescent="0.15">
      <c r="A283" s="1" t="s">
        <v>460</v>
      </c>
      <c r="B283" s="2" t="s">
        <v>377</v>
      </c>
      <c r="C283" s="2" t="s">
        <v>333</v>
      </c>
      <c r="D283" s="2" t="s">
        <v>282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461</v>
      </c>
      <c r="B284" s="2" t="s">
        <v>377</v>
      </c>
      <c r="C284" s="2" t="s">
        <v>334</v>
      </c>
      <c r="D284" s="2" t="s">
        <v>282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462</v>
      </c>
      <c r="B285" s="2" t="s">
        <v>377</v>
      </c>
      <c r="C285" s="2" t="s">
        <v>335</v>
      </c>
      <c r="D285" s="2" t="s">
        <v>282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463</v>
      </c>
      <c r="B286" s="2" t="s">
        <v>377</v>
      </c>
      <c r="C286" s="2" t="s">
        <v>336</v>
      </c>
      <c r="D286" s="2" t="s">
        <v>282</v>
      </c>
      <c r="E286" s="6">
        <v>2700</v>
      </c>
      <c r="F286" s="18">
        <v>24</v>
      </c>
      <c r="G286" s="18">
        <v>2</v>
      </c>
      <c r="H286" s="18">
        <v>805</v>
      </c>
      <c r="I286" s="18"/>
      <c r="J286" s="18">
        <v>11135</v>
      </c>
      <c r="K286" s="18"/>
      <c r="L286" s="19">
        <f t="shared" si="12"/>
        <v>11966</v>
      </c>
      <c r="M286" s="8"/>
    </row>
    <row r="287" spans="1:13" s="3" customFormat="1" ht="12" customHeight="1" x14ac:dyDescent="0.15">
      <c r="A287" s="1" t="s">
        <v>297</v>
      </c>
      <c r="B287" s="2" t="s">
        <v>377</v>
      </c>
      <c r="C287" s="2" t="s">
        <v>204</v>
      </c>
      <c r="D287" s="2" t="s">
        <v>282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465</v>
      </c>
      <c r="B288" s="2" t="s">
        <v>377</v>
      </c>
      <c r="C288" s="2" t="s">
        <v>205</v>
      </c>
      <c r="D288" s="2" t="s">
        <v>282</v>
      </c>
      <c r="E288" s="6">
        <v>2900</v>
      </c>
      <c r="F288" s="24" t="s">
        <v>327</v>
      </c>
      <c r="G288" s="24" t="s">
        <v>327</v>
      </c>
      <c r="H288" s="24" t="s">
        <v>327</v>
      </c>
      <c r="I288" s="24" t="s">
        <v>327</v>
      </c>
      <c r="J288" s="24" t="s">
        <v>327</v>
      </c>
      <c r="K288" s="24" t="s">
        <v>327</v>
      </c>
      <c r="L288" s="24" t="s">
        <v>327</v>
      </c>
      <c r="M288" s="8"/>
    </row>
    <row r="289" spans="1:13" s="3" customFormat="1" ht="12" customHeight="1" thickTop="1" x14ac:dyDescent="0.2">
      <c r="A289" s="38" t="s">
        <v>270</v>
      </c>
      <c r="B289" s="39" t="s">
        <v>377</v>
      </c>
      <c r="C289" s="39" t="s">
        <v>206</v>
      </c>
      <c r="D289" s="39" t="s">
        <v>282</v>
      </c>
      <c r="E289" s="39"/>
      <c r="F289" s="42">
        <f t="shared" ref="F289:L289" si="13">SUM(F275:F288)</f>
        <v>161925</v>
      </c>
      <c r="G289" s="42">
        <f t="shared" si="13"/>
        <v>64345</v>
      </c>
      <c r="H289" s="42">
        <f t="shared" si="13"/>
        <v>13263</v>
      </c>
      <c r="I289" s="42">
        <f t="shared" si="13"/>
        <v>6337</v>
      </c>
      <c r="J289" s="42">
        <f t="shared" si="13"/>
        <v>15939</v>
      </c>
      <c r="K289" s="42">
        <f t="shared" si="13"/>
        <v>1029</v>
      </c>
      <c r="L289" s="41">
        <f t="shared" si="13"/>
        <v>262838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489</v>
      </c>
      <c r="B291" s="2" t="s">
        <v>357</v>
      </c>
      <c r="C291" s="2" t="s">
        <v>357</v>
      </c>
      <c r="D291" s="2"/>
      <c r="E291" s="2"/>
      <c r="F291" s="177" t="s">
        <v>594</v>
      </c>
      <c r="G291" s="177" t="s">
        <v>595</v>
      </c>
      <c r="H291" s="177" t="s">
        <v>596</v>
      </c>
      <c r="I291" s="177" t="s">
        <v>597</v>
      </c>
      <c r="J291" s="177" t="s">
        <v>598</v>
      </c>
      <c r="K291" s="177" t="s">
        <v>716</v>
      </c>
      <c r="L291" s="17"/>
      <c r="M291" s="8"/>
    </row>
    <row r="292" spans="1:13" s="3" customFormat="1" ht="12" customHeight="1" x14ac:dyDescent="0.15">
      <c r="A292" s="29" t="s">
        <v>608</v>
      </c>
      <c r="B292" s="7"/>
      <c r="C292" s="7"/>
      <c r="D292" s="7"/>
      <c r="E292" s="7"/>
      <c r="F292" s="103" t="s">
        <v>136</v>
      </c>
      <c r="G292" s="103" t="s">
        <v>137</v>
      </c>
      <c r="H292" s="103" t="s">
        <v>138</v>
      </c>
      <c r="I292" s="103" t="s">
        <v>139</v>
      </c>
      <c r="J292" s="103" t="s">
        <v>140</v>
      </c>
      <c r="K292" s="103" t="s">
        <v>141</v>
      </c>
      <c r="L292" s="103" t="s">
        <v>91</v>
      </c>
      <c r="M292" s="8"/>
    </row>
    <row r="293" spans="1:13" s="3" customFormat="1" ht="12" customHeight="1" x14ac:dyDescent="0.15">
      <c r="A293" s="30" t="s">
        <v>48</v>
      </c>
      <c r="F293" s="24" t="s">
        <v>327</v>
      </c>
      <c r="G293" s="24" t="s">
        <v>327</v>
      </c>
      <c r="H293" s="24" t="s">
        <v>327</v>
      </c>
      <c r="I293" s="24" t="s">
        <v>327</v>
      </c>
      <c r="J293" s="24" t="s">
        <v>327</v>
      </c>
      <c r="K293" s="24" t="s">
        <v>327</v>
      </c>
      <c r="L293" s="24" t="s">
        <v>327</v>
      </c>
      <c r="M293" s="8"/>
    </row>
    <row r="294" spans="1:13" s="3" customFormat="1" ht="12" customHeight="1" x14ac:dyDescent="0.15">
      <c r="A294" s="1" t="s">
        <v>289</v>
      </c>
      <c r="B294" s="2" t="s">
        <v>378</v>
      </c>
      <c r="C294" s="2" t="s">
        <v>162</v>
      </c>
      <c r="D294" s="2" t="s">
        <v>282</v>
      </c>
      <c r="E294" s="6">
        <v>1100</v>
      </c>
      <c r="F294" s="18"/>
      <c r="G294" s="18"/>
      <c r="H294" s="18"/>
      <c r="I294" s="18">
        <v>372</v>
      </c>
      <c r="J294" s="18"/>
      <c r="K294" s="18">
        <v>170</v>
      </c>
      <c r="L294" s="19">
        <f>SUM(F294:K294)</f>
        <v>542</v>
      </c>
      <c r="M294" s="8"/>
    </row>
    <row r="295" spans="1:13" s="3" customFormat="1" ht="12" customHeight="1" x14ac:dyDescent="0.15">
      <c r="A295" s="1" t="s">
        <v>290</v>
      </c>
      <c r="B295" s="2" t="s">
        <v>378</v>
      </c>
      <c r="C295" s="2" t="s">
        <v>163</v>
      </c>
      <c r="D295" s="2" t="s">
        <v>282</v>
      </c>
      <c r="E295" s="6">
        <v>1200</v>
      </c>
      <c r="F295" s="18">
        <v>20838</v>
      </c>
      <c r="G295" s="18">
        <v>10521</v>
      </c>
      <c r="H295" s="18"/>
      <c r="I295" s="18">
        <v>436</v>
      </c>
      <c r="J295" s="18">
        <v>820</v>
      </c>
      <c r="K295" s="18"/>
      <c r="L295" s="19">
        <f>SUM(F295:K295)</f>
        <v>32615</v>
      </c>
      <c r="M295" s="8"/>
    </row>
    <row r="296" spans="1:13" s="3" customFormat="1" ht="12" customHeight="1" x14ac:dyDescent="0.15">
      <c r="A296" s="1" t="s">
        <v>291</v>
      </c>
      <c r="B296" s="2" t="s">
        <v>378</v>
      </c>
      <c r="C296" s="2" t="s">
        <v>490</v>
      </c>
      <c r="D296" s="2" t="s">
        <v>282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456</v>
      </c>
      <c r="B297" s="2" t="s">
        <v>378</v>
      </c>
      <c r="C297" s="2" t="s">
        <v>329</v>
      </c>
      <c r="D297" s="2" t="s">
        <v>282</v>
      </c>
      <c r="E297" s="6">
        <v>1400</v>
      </c>
      <c r="F297" s="18"/>
      <c r="G297" s="18"/>
      <c r="H297" s="18">
        <v>66</v>
      </c>
      <c r="I297" s="18">
        <v>73</v>
      </c>
      <c r="J297" s="18"/>
      <c r="K297" s="18"/>
      <c r="L297" s="19">
        <f>SUM(F297:K297)</f>
        <v>139</v>
      </c>
      <c r="M297" s="8"/>
    </row>
    <row r="298" spans="1:13" s="3" customFormat="1" ht="12" customHeight="1" x14ac:dyDescent="0.15">
      <c r="A298" s="30" t="s">
        <v>203</v>
      </c>
      <c r="E298" s="6"/>
      <c r="F298" s="24" t="s">
        <v>327</v>
      </c>
      <c r="G298" s="24" t="s">
        <v>327</v>
      </c>
      <c r="H298" s="24" t="s">
        <v>327</v>
      </c>
      <c r="I298" s="24" t="s">
        <v>327</v>
      </c>
      <c r="J298" s="24" t="s">
        <v>327</v>
      </c>
      <c r="K298" s="24" t="s">
        <v>327</v>
      </c>
      <c r="L298" s="24" t="s">
        <v>327</v>
      </c>
      <c r="M298" s="8"/>
    </row>
    <row r="299" spans="1:13" s="3" customFormat="1" ht="12" customHeight="1" x14ac:dyDescent="0.15">
      <c r="A299" s="1" t="s">
        <v>457</v>
      </c>
      <c r="B299" s="2" t="s">
        <v>378</v>
      </c>
      <c r="C299" s="2" t="s">
        <v>330</v>
      </c>
      <c r="D299" s="2" t="s">
        <v>282</v>
      </c>
      <c r="E299" s="6">
        <v>2100</v>
      </c>
      <c r="F299" s="18"/>
      <c r="G299" s="18"/>
      <c r="H299" s="18"/>
      <c r="I299" s="18">
        <v>206</v>
      </c>
      <c r="J299" s="18">
        <v>92</v>
      </c>
      <c r="K299" s="18"/>
      <c r="L299" s="19">
        <f t="shared" ref="L299:L305" si="14">SUM(F299:K299)</f>
        <v>298</v>
      </c>
      <c r="M299" s="8"/>
    </row>
    <row r="300" spans="1:13" s="3" customFormat="1" ht="12" customHeight="1" x14ac:dyDescent="0.15">
      <c r="A300" s="1" t="s">
        <v>458</v>
      </c>
      <c r="B300" s="2" t="s">
        <v>378</v>
      </c>
      <c r="C300" s="2" t="s">
        <v>331</v>
      </c>
      <c r="D300" s="2" t="s">
        <v>282</v>
      </c>
      <c r="E300" s="6">
        <v>2200</v>
      </c>
      <c r="F300" s="18">
        <v>4462</v>
      </c>
      <c r="G300" s="18">
        <v>1231</v>
      </c>
      <c r="H300" s="18">
        <v>1875</v>
      </c>
      <c r="I300" s="18">
        <f>68+11</f>
        <v>79</v>
      </c>
      <c r="J300" s="18">
        <v>302</v>
      </c>
      <c r="K300" s="18"/>
      <c r="L300" s="19">
        <f t="shared" si="14"/>
        <v>7949</v>
      </c>
      <c r="M300" s="8"/>
    </row>
    <row r="301" spans="1:13" s="3" customFormat="1" ht="12" customHeight="1" x14ac:dyDescent="0.15">
      <c r="A301" s="1" t="s">
        <v>459</v>
      </c>
      <c r="B301" s="2" t="s">
        <v>378</v>
      </c>
      <c r="C301" s="2" t="s">
        <v>332</v>
      </c>
      <c r="D301" s="2" t="s">
        <v>282</v>
      </c>
      <c r="E301" s="6">
        <v>2300</v>
      </c>
      <c r="F301" s="18"/>
      <c r="G301" s="18"/>
      <c r="H301" s="18"/>
      <c r="I301" s="18">
        <v>391</v>
      </c>
      <c r="J301" s="18"/>
      <c r="K301" s="18"/>
      <c r="L301" s="19">
        <f t="shared" si="14"/>
        <v>391</v>
      </c>
      <c r="M301" s="8"/>
    </row>
    <row r="302" spans="1:13" s="3" customFormat="1" ht="12" customHeight="1" x14ac:dyDescent="0.15">
      <c r="A302" s="1" t="s">
        <v>460</v>
      </c>
      <c r="B302" s="2" t="s">
        <v>378</v>
      </c>
      <c r="C302" s="2" t="s">
        <v>333</v>
      </c>
      <c r="D302" s="2" t="s">
        <v>282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461</v>
      </c>
      <c r="B303" s="2" t="s">
        <v>378</v>
      </c>
      <c r="C303" s="2" t="s">
        <v>334</v>
      </c>
      <c r="D303" s="2" t="s">
        <v>282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462</v>
      </c>
      <c r="B304" s="2" t="s">
        <v>378</v>
      </c>
      <c r="C304" s="2" t="s">
        <v>335</v>
      </c>
      <c r="D304" s="2" t="s">
        <v>282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463</v>
      </c>
      <c r="B305" s="2" t="s">
        <v>378</v>
      </c>
      <c r="C305" s="2" t="s">
        <v>336</v>
      </c>
      <c r="D305" s="2" t="s">
        <v>282</v>
      </c>
      <c r="E305" s="6">
        <v>2700</v>
      </c>
      <c r="F305" s="18"/>
      <c r="G305" s="18"/>
      <c r="H305" s="18"/>
      <c r="I305" s="18"/>
      <c r="J305" s="18">
        <v>3718</v>
      </c>
      <c r="K305" s="18"/>
      <c r="L305" s="19">
        <f t="shared" si="14"/>
        <v>3718</v>
      </c>
      <c r="M305" s="8"/>
    </row>
    <row r="306" spans="1:13" s="3" customFormat="1" ht="12" customHeight="1" x14ac:dyDescent="0.15">
      <c r="A306" s="1" t="s">
        <v>297</v>
      </c>
      <c r="B306" s="2" t="s">
        <v>378</v>
      </c>
      <c r="C306" s="2" t="s">
        <v>204</v>
      </c>
      <c r="D306" s="2" t="s">
        <v>282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465</v>
      </c>
      <c r="B307" s="2" t="s">
        <v>378</v>
      </c>
      <c r="C307" s="2" t="s">
        <v>205</v>
      </c>
      <c r="D307" s="2" t="s">
        <v>282</v>
      </c>
      <c r="E307" s="6">
        <v>2900</v>
      </c>
      <c r="F307" s="24" t="s">
        <v>327</v>
      </c>
      <c r="G307" s="24" t="s">
        <v>327</v>
      </c>
      <c r="H307" s="24" t="s">
        <v>327</v>
      </c>
      <c r="I307" s="24" t="s">
        <v>327</v>
      </c>
      <c r="J307" s="24" t="s">
        <v>327</v>
      </c>
      <c r="K307" s="24" t="s">
        <v>327</v>
      </c>
      <c r="L307" s="24" t="s">
        <v>327</v>
      </c>
      <c r="M307" s="8"/>
    </row>
    <row r="308" spans="1:13" ht="12" customHeight="1" thickTop="1" x14ac:dyDescent="0.2">
      <c r="A308" s="38" t="s">
        <v>482</v>
      </c>
      <c r="B308" s="39" t="s">
        <v>378</v>
      </c>
      <c r="C308" s="40">
        <v>14</v>
      </c>
      <c r="D308" s="39" t="s">
        <v>282</v>
      </c>
      <c r="E308" s="40"/>
      <c r="F308" s="42">
        <f t="shared" ref="F308:L308" si="15">SUM(F294:F307)</f>
        <v>25300</v>
      </c>
      <c r="G308" s="42">
        <f t="shared" si="15"/>
        <v>11752</v>
      </c>
      <c r="H308" s="42">
        <f t="shared" si="15"/>
        <v>1941</v>
      </c>
      <c r="I308" s="42">
        <f t="shared" si="15"/>
        <v>1557</v>
      </c>
      <c r="J308" s="42">
        <f t="shared" si="15"/>
        <v>4932</v>
      </c>
      <c r="K308" s="42">
        <f t="shared" si="15"/>
        <v>170</v>
      </c>
      <c r="L308" s="41">
        <f t="shared" si="15"/>
        <v>45652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489</v>
      </c>
      <c r="B310"/>
      <c r="C310"/>
      <c r="D310"/>
      <c r="E310"/>
      <c r="F310" s="177" t="s">
        <v>594</v>
      </c>
      <c r="G310" s="177" t="s">
        <v>595</v>
      </c>
      <c r="H310" s="177" t="s">
        <v>596</v>
      </c>
      <c r="I310" s="177" t="s">
        <v>597</v>
      </c>
      <c r="J310" s="177" t="s">
        <v>598</v>
      </c>
      <c r="K310" s="177" t="s">
        <v>716</v>
      </c>
      <c r="L310" s="20"/>
      <c r="M310" s="8"/>
    </row>
    <row r="311" spans="1:13" s="3" customFormat="1" ht="12" customHeight="1" x14ac:dyDescent="0.15">
      <c r="A311" s="29" t="s">
        <v>609</v>
      </c>
      <c r="F311" s="103" t="s">
        <v>136</v>
      </c>
      <c r="G311" s="103" t="s">
        <v>137</v>
      </c>
      <c r="H311" s="103" t="s">
        <v>138</v>
      </c>
      <c r="I311" s="103" t="s">
        <v>139</v>
      </c>
      <c r="J311" s="103" t="s">
        <v>140</v>
      </c>
      <c r="K311" s="103" t="s">
        <v>141</v>
      </c>
      <c r="L311" s="103" t="s">
        <v>91</v>
      </c>
      <c r="M311" s="8"/>
    </row>
    <row r="312" spans="1:13" s="3" customFormat="1" ht="12" customHeight="1" x14ac:dyDescent="0.15">
      <c r="A312" s="30" t="s">
        <v>48</v>
      </c>
      <c r="F312" s="24" t="s">
        <v>327</v>
      </c>
      <c r="G312" s="24" t="s">
        <v>327</v>
      </c>
      <c r="H312" s="24" t="s">
        <v>327</v>
      </c>
      <c r="I312" s="24" t="s">
        <v>327</v>
      </c>
      <c r="J312" s="24" t="s">
        <v>327</v>
      </c>
      <c r="K312" s="24" t="s">
        <v>327</v>
      </c>
      <c r="L312" s="24" t="s">
        <v>327</v>
      </c>
      <c r="M312" s="8"/>
    </row>
    <row r="313" spans="1:13" s="3" customFormat="1" ht="12" customHeight="1" x14ac:dyDescent="0.15">
      <c r="A313" s="1" t="s">
        <v>289</v>
      </c>
      <c r="B313" s="2" t="s">
        <v>379</v>
      </c>
      <c r="C313" s="2" t="s">
        <v>162</v>
      </c>
      <c r="D313" s="2" t="s">
        <v>282</v>
      </c>
      <c r="E313" s="6">
        <v>1100</v>
      </c>
      <c r="F313" s="18"/>
      <c r="G313" s="18"/>
      <c r="H313" s="18">
        <v>2824</v>
      </c>
      <c r="I313" s="18">
        <v>5270</v>
      </c>
      <c r="J313" s="18"/>
      <c r="K313" s="18">
        <v>6408</v>
      </c>
      <c r="L313" s="19">
        <f>SUM(F313:K313)</f>
        <v>14502</v>
      </c>
      <c r="M313" s="8"/>
    </row>
    <row r="314" spans="1:13" s="3" customFormat="1" ht="12" customHeight="1" x14ac:dyDescent="0.15">
      <c r="A314" s="1" t="s">
        <v>290</v>
      </c>
      <c r="B314" s="2" t="s">
        <v>379</v>
      </c>
      <c r="C314" s="2" t="s">
        <v>163</v>
      </c>
      <c r="D314" s="2" t="s">
        <v>282</v>
      </c>
      <c r="E314" s="6">
        <v>1200</v>
      </c>
      <c r="F314" s="18">
        <v>42341</v>
      </c>
      <c r="G314" s="18">
        <v>21369</v>
      </c>
      <c r="H314" s="18"/>
      <c r="I314" s="18">
        <v>891</v>
      </c>
      <c r="J314" s="18">
        <v>1666</v>
      </c>
      <c r="K314" s="18"/>
      <c r="L314" s="19">
        <f>SUM(F314:K314)</f>
        <v>66267</v>
      </c>
      <c r="M314" s="8"/>
    </row>
    <row r="315" spans="1:13" s="3" customFormat="1" ht="12" customHeight="1" x14ac:dyDescent="0.15">
      <c r="A315" s="1" t="s">
        <v>291</v>
      </c>
      <c r="B315" s="2" t="s">
        <v>379</v>
      </c>
      <c r="C315" s="2" t="s">
        <v>490</v>
      </c>
      <c r="D315" s="2" t="s">
        <v>282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456</v>
      </c>
      <c r="B316" s="2" t="s">
        <v>379</v>
      </c>
      <c r="C316" s="2" t="s">
        <v>329</v>
      </c>
      <c r="D316" s="2" t="s">
        <v>282</v>
      </c>
      <c r="E316" s="6">
        <v>1400</v>
      </c>
      <c r="F316" s="18"/>
      <c r="G316" s="18"/>
      <c r="H316" s="18">
        <v>136</v>
      </c>
      <c r="I316" s="18">
        <v>149</v>
      </c>
      <c r="J316" s="18"/>
      <c r="K316" s="18"/>
      <c r="L316" s="19">
        <f>SUM(F316:K316)</f>
        <v>285</v>
      </c>
      <c r="M316" s="8"/>
    </row>
    <row r="317" spans="1:13" s="3" customFormat="1" ht="12" customHeight="1" x14ac:dyDescent="0.15">
      <c r="A317" s="30" t="s">
        <v>203</v>
      </c>
      <c r="C317" s="23"/>
      <c r="E317" s="6"/>
      <c r="F317" s="24" t="s">
        <v>327</v>
      </c>
      <c r="G317" s="24" t="s">
        <v>327</v>
      </c>
      <c r="H317" s="24" t="s">
        <v>327</v>
      </c>
      <c r="I317" s="24" t="s">
        <v>327</v>
      </c>
      <c r="J317" s="24" t="s">
        <v>327</v>
      </c>
      <c r="K317" s="24" t="s">
        <v>327</v>
      </c>
      <c r="L317" s="24" t="s">
        <v>327</v>
      </c>
      <c r="M317" s="8"/>
    </row>
    <row r="318" spans="1:13" s="3" customFormat="1" ht="12" customHeight="1" x14ac:dyDescent="0.15">
      <c r="A318" s="1" t="s">
        <v>457</v>
      </c>
      <c r="B318" s="2" t="s">
        <v>379</v>
      </c>
      <c r="C318" s="2" t="s">
        <v>330</v>
      </c>
      <c r="D318" s="2" t="s">
        <v>282</v>
      </c>
      <c r="E318" s="6">
        <v>2100</v>
      </c>
      <c r="F318" s="18"/>
      <c r="G318" s="18"/>
      <c r="H318" s="18"/>
      <c r="I318" s="18">
        <v>422</v>
      </c>
      <c r="J318" s="18">
        <v>189</v>
      </c>
      <c r="K318" s="18"/>
      <c r="L318" s="19">
        <f t="shared" ref="L318:L324" si="16">SUM(F318:K318)</f>
        <v>611</v>
      </c>
      <c r="M318" s="8"/>
    </row>
    <row r="319" spans="1:13" s="3" customFormat="1" ht="12" customHeight="1" x14ac:dyDescent="0.15">
      <c r="A319" s="1" t="s">
        <v>458</v>
      </c>
      <c r="B319" s="2" t="s">
        <v>379</v>
      </c>
      <c r="C319" s="2" t="s">
        <v>331</v>
      </c>
      <c r="D319" s="2" t="s">
        <v>282</v>
      </c>
      <c r="E319" s="6">
        <v>2200</v>
      </c>
      <c r="F319" s="18">
        <v>9159</v>
      </c>
      <c r="G319" s="18">
        <v>2528</v>
      </c>
      <c r="H319" s="18">
        <v>3849</v>
      </c>
      <c r="I319" s="18">
        <f>141+374</f>
        <v>515</v>
      </c>
      <c r="J319" s="18">
        <f>620+86</f>
        <v>706</v>
      </c>
      <c r="K319" s="18"/>
      <c r="L319" s="19">
        <f t="shared" si="16"/>
        <v>16757</v>
      </c>
      <c r="M319" s="8"/>
    </row>
    <row r="320" spans="1:13" s="3" customFormat="1" ht="12" customHeight="1" x14ac:dyDescent="0.15">
      <c r="A320" s="1" t="s">
        <v>459</v>
      </c>
      <c r="B320" s="2" t="s">
        <v>379</v>
      </c>
      <c r="C320" s="2" t="s">
        <v>332</v>
      </c>
      <c r="D320" s="2" t="s">
        <v>282</v>
      </c>
      <c r="E320" s="6">
        <v>2300</v>
      </c>
      <c r="F320" s="18"/>
      <c r="G320" s="18"/>
      <c r="H320" s="18"/>
      <c r="I320" s="18">
        <v>759</v>
      </c>
      <c r="J320" s="18"/>
      <c r="K320" s="18"/>
      <c r="L320" s="19">
        <f t="shared" si="16"/>
        <v>759</v>
      </c>
      <c r="M320" s="8"/>
    </row>
    <row r="321" spans="1:13" s="3" customFormat="1" ht="12" customHeight="1" x14ac:dyDescent="0.15">
      <c r="A321" s="1" t="s">
        <v>460</v>
      </c>
      <c r="B321" s="2" t="s">
        <v>379</v>
      </c>
      <c r="C321" s="2" t="s">
        <v>333</v>
      </c>
      <c r="D321" s="2" t="s">
        <v>282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461</v>
      </c>
      <c r="B322" s="2" t="s">
        <v>379</v>
      </c>
      <c r="C322" s="2" t="s">
        <v>334</v>
      </c>
      <c r="D322" s="2" t="s">
        <v>282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462</v>
      </c>
      <c r="B323" s="2" t="s">
        <v>379</v>
      </c>
      <c r="C323" s="2" t="s">
        <v>335</v>
      </c>
      <c r="D323" s="2" t="s">
        <v>282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463</v>
      </c>
      <c r="B324" s="2" t="s">
        <v>379</v>
      </c>
      <c r="C324" s="2" t="s">
        <v>336</v>
      </c>
      <c r="D324" s="2" t="s">
        <v>282</v>
      </c>
      <c r="E324" s="6">
        <v>2700</v>
      </c>
      <c r="F324" s="18"/>
      <c r="G324" s="18"/>
      <c r="H324" s="18">
        <v>3180</v>
      </c>
      <c r="I324" s="18"/>
      <c r="J324" s="18">
        <v>7634</v>
      </c>
      <c r="K324" s="18"/>
      <c r="L324" s="19">
        <f t="shared" si="16"/>
        <v>10814</v>
      </c>
      <c r="M324" s="8"/>
    </row>
    <row r="325" spans="1:13" s="3" customFormat="1" ht="12" customHeight="1" x14ac:dyDescent="0.15">
      <c r="A325" s="1" t="s">
        <v>297</v>
      </c>
      <c r="B325" s="2" t="s">
        <v>379</v>
      </c>
      <c r="C325" s="2" t="s">
        <v>204</v>
      </c>
      <c r="D325" s="2" t="s">
        <v>282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465</v>
      </c>
      <c r="B326" s="2" t="s">
        <v>379</v>
      </c>
      <c r="C326" s="2" t="s">
        <v>205</v>
      </c>
      <c r="D326" s="2" t="s">
        <v>282</v>
      </c>
      <c r="E326" s="6">
        <v>2900</v>
      </c>
      <c r="F326" s="24" t="s">
        <v>327</v>
      </c>
      <c r="G326" s="24" t="s">
        <v>327</v>
      </c>
      <c r="H326" s="24" t="s">
        <v>327</v>
      </c>
      <c r="I326" s="24" t="s">
        <v>327</v>
      </c>
      <c r="J326" s="24" t="s">
        <v>327</v>
      </c>
      <c r="K326" s="24" t="s">
        <v>327</v>
      </c>
      <c r="L326" s="24" t="s">
        <v>327</v>
      </c>
      <c r="M326" s="8"/>
    </row>
    <row r="327" spans="1:13" s="3" customFormat="1" ht="12" customHeight="1" thickTop="1" x14ac:dyDescent="0.2">
      <c r="A327" s="38" t="s">
        <v>586</v>
      </c>
      <c r="B327" s="39" t="s">
        <v>379</v>
      </c>
      <c r="C327" s="40">
        <v>14</v>
      </c>
      <c r="D327" s="39" t="s">
        <v>282</v>
      </c>
      <c r="E327" s="40"/>
      <c r="F327" s="42">
        <f t="shared" ref="F327:L327" si="17">SUM(F313:F326)</f>
        <v>51500</v>
      </c>
      <c r="G327" s="42">
        <f t="shared" si="17"/>
        <v>23897</v>
      </c>
      <c r="H327" s="42">
        <f t="shared" si="17"/>
        <v>9989</v>
      </c>
      <c r="I327" s="42">
        <f t="shared" si="17"/>
        <v>8006</v>
      </c>
      <c r="J327" s="42">
        <f t="shared" si="17"/>
        <v>10195</v>
      </c>
      <c r="K327" s="42">
        <f t="shared" si="17"/>
        <v>6408</v>
      </c>
      <c r="L327" s="41">
        <f t="shared" si="17"/>
        <v>109995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380</v>
      </c>
      <c r="B329" s="2"/>
      <c r="C329" s="6"/>
      <c r="D329" s="6"/>
      <c r="E329" s="6"/>
      <c r="F329" s="177" t="s">
        <v>594</v>
      </c>
      <c r="G329" s="177" t="s">
        <v>595</v>
      </c>
      <c r="H329" s="177" t="s">
        <v>596</v>
      </c>
      <c r="I329" s="177" t="s">
        <v>597</v>
      </c>
      <c r="J329" s="177" t="s">
        <v>598</v>
      </c>
      <c r="K329" s="177" t="s">
        <v>716</v>
      </c>
      <c r="L329" s="19"/>
      <c r="M329" s="8"/>
    </row>
    <row r="330" spans="1:13" s="3" customFormat="1" ht="12" customHeight="1" x14ac:dyDescent="0.15">
      <c r="A330" s="29" t="s">
        <v>381</v>
      </c>
      <c r="F330" s="103" t="s">
        <v>136</v>
      </c>
      <c r="G330" s="103" t="s">
        <v>137</v>
      </c>
      <c r="H330" s="103" t="s">
        <v>138</v>
      </c>
      <c r="I330" s="103" t="s">
        <v>139</v>
      </c>
      <c r="J330" s="103" t="s">
        <v>140</v>
      </c>
      <c r="K330" s="103" t="s">
        <v>141</v>
      </c>
      <c r="L330" s="103" t="s">
        <v>91</v>
      </c>
      <c r="M330" s="8"/>
    </row>
    <row r="331" spans="1:13" s="3" customFormat="1" ht="12" customHeight="1" x14ac:dyDescent="0.15">
      <c r="A331" s="1" t="s">
        <v>688</v>
      </c>
      <c r="B331" s="6">
        <v>14</v>
      </c>
      <c r="C331" s="2" t="s">
        <v>328</v>
      </c>
      <c r="D331" s="2" t="s">
        <v>282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214</v>
      </c>
      <c r="B332" s="6">
        <v>14</v>
      </c>
      <c r="C332" s="2" t="s">
        <v>173</v>
      </c>
      <c r="D332" s="2" t="s">
        <v>282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725</v>
      </c>
      <c r="B333" s="6">
        <v>14</v>
      </c>
      <c r="C333" s="2" t="s">
        <v>346</v>
      </c>
      <c r="D333" s="2" t="s">
        <v>282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726</v>
      </c>
      <c r="B334" s="6">
        <v>14</v>
      </c>
      <c r="C334" s="2" t="s">
        <v>352</v>
      </c>
      <c r="D334" s="2" t="s">
        <v>282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727</v>
      </c>
      <c r="B335" s="6">
        <v>14</v>
      </c>
      <c r="C335" s="37">
        <v>5</v>
      </c>
      <c r="D335" s="2" t="s">
        <v>282</v>
      </c>
      <c r="E335" s="6">
        <v>4000</v>
      </c>
      <c r="F335" s="18"/>
      <c r="G335" s="18"/>
      <c r="H335" s="18"/>
      <c r="I335" s="18"/>
      <c r="J335" s="18">
        <v>5400</v>
      </c>
      <c r="K335" s="18"/>
      <c r="L335" s="19">
        <f t="shared" si="18"/>
        <v>5400</v>
      </c>
      <c r="M335" s="8"/>
    </row>
    <row r="336" spans="1:13" s="3" customFormat="1" ht="12" customHeight="1" thickTop="1" thickBot="1" x14ac:dyDescent="0.2">
      <c r="A336" s="50" t="s">
        <v>621</v>
      </c>
      <c r="B336" s="40">
        <v>14</v>
      </c>
      <c r="C336" s="51">
        <v>6</v>
      </c>
      <c r="D336" s="48" t="s">
        <v>282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5400</v>
      </c>
      <c r="K336" s="41">
        <f t="shared" si="19"/>
        <v>0</v>
      </c>
      <c r="L336" s="41">
        <f t="shared" si="18"/>
        <v>5400</v>
      </c>
      <c r="M336" s="8"/>
    </row>
    <row r="337" spans="1:43" s="3" customFormat="1" ht="12" customHeight="1" thickTop="1" x14ac:dyDescent="0.15">
      <c r="A337" s="38" t="s">
        <v>491</v>
      </c>
      <c r="B337" s="40">
        <v>14</v>
      </c>
      <c r="C337" s="40">
        <v>7</v>
      </c>
      <c r="D337" s="39" t="s">
        <v>282</v>
      </c>
      <c r="E337" s="40"/>
      <c r="F337" s="41">
        <f t="shared" ref="F337:L337" si="20">F289+F308+F327+F336</f>
        <v>238725</v>
      </c>
      <c r="G337" s="41">
        <f t="shared" si="20"/>
        <v>99994</v>
      </c>
      <c r="H337" s="41">
        <f t="shared" si="20"/>
        <v>25193</v>
      </c>
      <c r="I337" s="41">
        <f t="shared" si="20"/>
        <v>15900</v>
      </c>
      <c r="J337" s="41">
        <f t="shared" si="20"/>
        <v>36466</v>
      </c>
      <c r="K337" s="41">
        <f t="shared" si="20"/>
        <v>7607</v>
      </c>
      <c r="L337" s="41">
        <f t="shared" si="20"/>
        <v>423885</v>
      </c>
      <c r="M337" s="8"/>
    </row>
    <row r="338" spans="1:43" s="3" customFormat="1" ht="12" customHeight="1" x14ac:dyDescent="0.15">
      <c r="A338" s="29" t="s">
        <v>215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486</v>
      </c>
      <c r="E339" s="6">
        <v>5100</v>
      </c>
      <c r="F339" s="24" t="s">
        <v>327</v>
      </c>
      <c r="G339" s="24" t="s">
        <v>327</v>
      </c>
      <c r="H339" s="24" t="s">
        <v>327</v>
      </c>
      <c r="I339" s="24" t="s">
        <v>327</v>
      </c>
      <c r="J339" s="24" t="s">
        <v>327</v>
      </c>
      <c r="K339" s="24" t="s">
        <v>327</v>
      </c>
      <c r="L339" s="24" t="s">
        <v>327</v>
      </c>
      <c r="M339" s="8"/>
    </row>
    <row r="340" spans="1:43" s="3" customFormat="1" ht="12" customHeight="1" x14ac:dyDescent="0.15">
      <c r="A340" s="1" t="s">
        <v>545</v>
      </c>
      <c r="B340" s="6">
        <v>14</v>
      </c>
      <c r="C340" s="37">
        <v>8</v>
      </c>
      <c r="E340" s="6">
        <v>5100</v>
      </c>
      <c r="F340" s="24" t="s">
        <v>327</v>
      </c>
      <c r="G340" s="24" t="s">
        <v>327</v>
      </c>
      <c r="H340" s="24" t="s">
        <v>327</v>
      </c>
      <c r="I340" s="24" t="s">
        <v>327</v>
      </c>
      <c r="J340" s="24" t="s">
        <v>327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557</v>
      </c>
      <c r="B341" s="6">
        <v>14</v>
      </c>
      <c r="C341" s="37">
        <v>9</v>
      </c>
      <c r="E341" s="6">
        <v>5120</v>
      </c>
      <c r="F341" s="24" t="s">
        <v>327</v>
      </c>
      <c r="G341" s="24" t="s">
        <v>327</v>
      </c>
      <c r="H341" s="24" t="s">
        <v>327</v>
      </c>
      <c r="I341" s="24" t="s">
        <v>327</v>
      </c>
      <c r="J341" s="24" t="s">
        <v>327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217</v>
      </c>
      <c r="B342" s="6">
        <v>14</v>
      </c>
      <c r="C342" s="3"/>
      <c r="D342" s="3"/>
      <c r="E342" s="6">
        <v>5200</v>
      </c>
      <c r="F342" s="24" t="s">
        <v>327</v>
      </c>
      <c r="G342" s="24" t="s">
        <v>327</v>
      </c>
      <c r="H342" s="24" t="s">
        <v>327</v>
      </c>
      <c r="I342" s="24" t="s">
        <v>327</v>
      </c>
      <c r="J342" s="24" t="s">
        <v>327</v>
      </c>
      <c r="K342" s="24" t="s">
        <v>327</v>
      </c>
      <c r="L342" s="24" t="s">
        <v>327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563</v>
      </c>
      <c r="B343" s="6">
        <v>14</v>
      </c>
      <c r="C343" s="6">
        <v>10</v>
      </c>
      <c r="D343" s="2" t="s">
        <v>282</v>
      </c>
      <c r="E343" s="6">
        <v>5210</v>
      </c>
      <c r="F343" s="24" t="s">
        <v>327</v>
      </c>
      <c r="G343" s="24" t="s">
        <v>327</v>
      </c>
      <c r="H343" s="24" t="s">
        <v>327</v>
      </c>
      <c r="I343" s="24" t="s">
        <v>327</v>
      </c>
      <c r="J343" s="24" t="s">
        <v>327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634</v>
      </c>
      <c r="B344" s="6">
        <v>14</v>
      </c>
      <c r="C344" s="6">
        <v>11</v>
      </c>
      <c r="D344" s="2" t="s">
        <v>282</v>
      </c>
      <c r="E344" s="6">
        <v>5221</v>
      </c>
      <c r="F344" s="24" t="s">
        <v>327</v>
      </c>
      <c r="G344" s="24" t="s">
        <v>327</v>
      </c>
      <c r="H344" s="24" t="s">
        <v>327</v>
      </c>
      <c r="I344" s="24" t="s">
        <v>327</v>
      </c>
      <c r="J344" s="24" t="s">
        <v>327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564</v>
      </c>
      <c r="B345" s="6">
        <v>14</v>
      </c>
      <c r="C345" s="6">
        <v>12</v>
      </c>
      <c r="D345" s="2" t="s">
        <v>282</v>
      </c>
      <c r="E345" s="6">
        <v>5230</v>
      </c>
      <c r="F345" s="24" t="s">
        <v>327</v>
      </c>
      <c r="G345" s="24" t="s">
        <v>327</v>
      </c>
      <c r="H345" s="24" t="s">
        <v>327</v>
      </c>
      <c r="I345" s="24" t="s">
        <v>327</v>
      </c>
      <c r="J345" s="24" t="s">
        <v>327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565</v>
      </c>
      <c r="B346" s="6">
        <v>14</v>
      </c>
      <c r="C346" s="6">
        <v>13</v>
      </c>
      <c r="D346" s="2" t="s">
        <v>282</v>
      </c>
      <c r="E346" s="6">
        <v>5250</v>
      </c>
      <c r="F346" s="24" t="s">
        <v>327</v>
      </c>
      <c r="G346" s="24" t="s">
        <v>327</v>
      </c>
      <c r="H346" s="24" t="s">
        <v>327</v>
      </c>
      <c r="I346" s="24" t="s">
        <v>327</v>
      </c>
      <c r="J346" s="24" t="s">
        <v>327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446</v>
      </c>
      <c r="B347" s="2"/>
      <c r="C347" s="6"/>
      <c r="D347" s="6"/>
      <c r="E347" s="6">
        <v>5300</v>
      </c>
      <c r="F347" s="24" t="s">
        <v>327</v>
      </c>
      <c r="G347" s="24" t="s">
        <v>327</v>
      </c>
      <c r="H347" s="24" t="s">
        <v>327</v>
      </c>
      <c r="I347" s="24" t="s">
        <v>327</v>
      </c>
      <c r="J347" s="24" t="s">
        <v>327</v>
      </c>
      <c r="K347" s="24" t="s">
        <v>327</v>
      </c>
      <c r="L347" s="24" t="s">
        <v>327</v>
      </c>
      <c r="M347" s="8"/>
    </row>
    <row r="348" spans="1:43" s="3" customFormat="1" ht="12" customHeight="1" x14ac:dyDescent="0.15">
      <c r="A348" s="1" t="s">
        <v>425</v>
      </c>
      <c r="B348" s="6">
        <v>14</v>
      </c>
      <c r="C348" s="6">
        <v>14</v>
      </c>
      <c r="D348" s="2" t="s">
        <v>282</v>
      </c>
      <c r="E348" s="6">
        <v>5310</v>
      </c>
      <c r="F348" s="24" t="s">
        <v>327</v>
      </c>
      <c r="G348" s="24" t="s">
        <v>327</v>
      </c>
      <c r="H348" s="24" t="s">
        <v>327</v>
      </c>
      <c r="I348" s="24" t="s">
        <v>327</v>
      </c>
      <c r="J348" s="24" t="s">
        <v>327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562</v>
      </c>
      <c r="B349" s="6">
        <v>14</v>
      </c>
      <c r="C349" s="37">
        <v>15</v>
      </c>
      <c r="D349" s="2" t="s">
        <v>282</v>
      </c>
      <c r="E349" s="6">
        <v>5390</v>
      </c>
      <c r="F349" s="24" t="s">
        <v>327</v>
      </c>
      <c r="G349" s="24" t="s">
        <v>327</v>
      </c>
      <c r="H349" s="24" t="s">
        <v>327</v>
      </c>
      <c r="I349" s="24" t="s">
        <v>327</v>
      </c>
      <c r="J349" s="24" t="s">
        <v>327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440</v>
      </c>
      <c r="B350" s="40">
        <v>14</v>
      </c>
      <c r="C350" s="51">
        <v>16</v>
      </c>
      <c r="D350" s="39" t="s">
        <v>282</v>
      </c>
      <c r="E350" s="40"/>
      <c r="F350" s="45" t="s">
        <v>327</v>
      </c>
      <c r="G350" s="45" t="s">
        <v>327</v>
      </c>
      <c r="H350" s="45" t="s">
        <v>327</v>
      </c>
      <c r="I350" s="45" t="s">
        <v>327</v>
      </c>
      <c r="J350" s="45" t="s">
        <v>327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492</v>
      </c>
      <c r="B351" s="40">
        <v>14</v>
      </c>
      <c r="C351" s="40">
        <v>17</v>
      </c>
      <c r="D351" s="39" t="s">
        <v>282</v>
      </c>
      <c r="E351" s="40"/>
      <c r="F351" s="41">
        <f>F337</f>
        <v>238725</v>
      </c>
      <c r="G351" s="41">
        <f>G337</f>
        <v>99994</v>
      </c>
      <c r="H351" s="41">
        <f>H337</f>
        <v>25193</v>
      </c>
      <c r="I351" s="41">
        <f>I337</f>
        <v>15900</v>
      </c>
      <c r="J351" s="41">
        <f>J337</f>
        <v>36466</v>
      </c>
      <c r="K351" s="47">
        <f>K337+K350</f>
        <v>7607</v>
      </c>
      <c r="L351" s="41">
        <f>L337+L350</f>
        <v>423885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594</v>
      </c>
      <c r="G353" s="177" t="s">
        <v>595</v>
      </c>
      <c r="H353" s="177" t="s">
        <v>596</v>
      </c>
      <c r="I353" s="177" t="s">
        <v>597</v>
      </c>
      <c r="J353" s="177" t="s">
        <v>598</v>
      </c>
      <c r="K353" s="177" t="s">
        <v>716</v>
      </c>
      <c r="L353" s="53"/>
      <c r="M353" s="8"/>
    </row>
    <row r="354" spans="1:13" s="3" customFormat="1" ht="12" customHeight="1" x14ac:dyDescent="0.15">
      <c r="A354" s="29" t="s">
        <v>320</v>
      </c>
      <c r="F354" s="103" t="s">
        <v>136</v>
      </c>
      <c r="G354" s="103" t="s">
        <v>137</v>
      </c>
      <c r="H354" s="103" t="s">
        <v>138</v>
      </c>
      <c r="I354" s="103" t="s">
        <v>139</v>
      </c>
      <c r="J354" s="103" t="s">
        <v>140</v>
      </c>
      <c r="K354" s="103" t="s">
        <v>141</v>
      </c>
      <c r="L354" s="103" t="s">
        <v>91</v>
      </c>
      <c r="M354" s="8"/>
    </row>
    <row r="355" spans="1:13" s="3" customFormat="1" ht="12" customHeight="1" x14ac:dyDescent="0.15">
      <c r="A355" s="27" t="s">
        <v>483</v>
      </c>
      <c r="B355" s="7"/>
      <c r="C355" s="7"/>
      <c r="D355" s="7"/>
      <c r="E355" s="6">
        <v>3000</v>
      </c>
      <c r="F355" s="24" t="s">
        <v>327</v>
      </c>
      <c r="G355" s="24" t="s">
        <v>327</v>
      </c>
      <c r="H355" s="24" t="s">
        <v>327</v>
      </c>
      <c r="I355" s="24" t="s">
        <v>327</v>
      </c>
      <c r="J355" s="24" t="s">
        <v>327</v>
      </c>
      <c r="K355" s="24" t="s">
        <v>327</v>
      </c>
      <c r="L355" s="24" t="s">
        <v>327</v>
      </c>
      <c r="M355" s="8"/>
    </row>
    <row r="356" spans="1:13" s="3" customFormat="1" ht="12" customHeight="1" x14ac:dyDescent="0.15">
      <c r="A356" s="30" t="s">
        <v>384</v>
      </c>
      <c r="B356" s="2"/>
      <c r="C356" s="2"/>
      <c r="D356" s="2"/>
      <c r="E356" s="6">
        <v>3100</v>
      </c>
      <c r="F356" s="24" t="s">
        <v>327</v>
      </c>
      <c r="G356" s="24" t="s">
        <v>327</v>
      </c>
      <c r="H356" s="24" t="s">
        <v>327</v>
      </c>
      <c r="I356" s="24" t="s">
        <v>327</v>
      </c>
      <c r="J356" s="24" t="s">
        <v>327</v>
      </c>
      <c r="K356" s="24" t="s">
        <v>327</v>
      </c>
      <c r="L356" s="24" t="s">
        <v>327</v>
      </c>
      <c r="M356" s="8"/>
    </row>
    <row r="357" spans="1:13" ht="12" customHeight="1" x14ac:dyDescent="0.2">
      <c r="A357" s="3" t="s">
        <v>566</v>
      </c>
      <c r="B357" s="2" t="s">
        <v>386</v>
      </c>
      <c r="C357" s="6">
        <v>1</v>
      </c>
      <c r="D357" s="2" t="s">
        <v>282</v>
      </c>
      <c r="E357" s="6"/>
      <c r="F357" s="18">
        <v>82978</v>
      </c>
      <c r="G357" s="18">
        <v>36729</v>
      </c>
      <c r="H357" s="18">
        <f>67+1885+548</f>
        <v>2500</v>
      </c>
      <c r="I357" s="18">
        <v>57343</v>
      </c>
      <c r="J357" s="18">
        <v>4593</v>
      </c>
      <c r="K357" s="18">
        <v>318</v>
      </c>
      <c r="L357" s="13">
        <f>SUM(F357:K357)</f>
        <v>184461</v>
      </c>
    </row>
    <row r="358" spans="1:13" s="3" customFormat="1" ht="12" customHeight="1" x14ac:dyDescent="0.15">
      <c r="A358" s="1" t="s">
        <v>567</v>
      </c>
      <c r="B358" s="2" t="s">
        <v>386</v>
      </c>
      <c r="C358" s="6">
        <v>2</v>
      </c>
      <c r="D358" s="2" t="s">
        <v>282</v>
      </c>
      <c r="E358" s="6"/>
      <c r="F358" s="18">
        <v>23481</v>
      </c>
      <c r="G358" s="18">
        <v>9648</v>
      </c>
      <c r="H358" s="18">
        <f>22+444+184</f>
        <v>650</v>
      </c>
      <c r="I358" s="18">
        <v>29896</v>
      </c>
      <c r="J358" s="18">
        <v>146</v>
      </c>
      <c r="K358" s="18">
        <v>107</v>
      </c>
      <c r="L358" s="19">
        <f>SUM(F358:K358)</f>
        <v>63928</v>
      </c>
      <c r="M358" s="8"/>
    </row>
    <row r="359" spans="1:13" s="3" customFormat="1" ht="12" customHeight="1" x14ac:dyDescent="0.15">
      <c r="A359" s="3" t="s">
        <v>568</v>
      </c>
      <c r="B359" s="2" t="s">
        <v>386</v>
      </c>
      <c r="C359" s="6">
        <v>3</v>
      </c>
      <c r="D359" s="2" t="s">
        <v>282</v>
      </c>
      <c r="E359" s="6"/>
      <c r="F359" s="18">
        <v>46237</v>
      </c>
      <c r="G359" s="18">
        <v>19207</v>
      </c>
      <c r="H359" s="18">
        <f>46+863+375</f>
        <v>1284</v>
      </c>
      <c r="I359" s="18">
        <v>58343</v>
      </c>
      <c r="J359" s="18">
        <v>290</v>
      </c>
      <c r="K359" s="18">
        <v>219</v>
      </c>
      <c r="L359" s="19">
        <f>SUM(F359:K359)</f>
        <v>125580</v>
      </c>
      <c r="M359" s="8"/>
    </row>
    <row r="360" spans="1:13" s="3" customFormat="1" ht="12" customHeight="1" thickBot="1" x14ac:dyDescent="0.2">
      <c r="A360" s="1" t="s">
        <v>225</v>
      </c>
      <c r="B360" s="2" t="s">
        <v>386</v>
      </c>
      <c r="C360" s="6">
        <v>4</v>
      </c>
      <c r="D360" s="2" t="s">
        <v>282</v>
      </c>
      <c r="E360" s="6">
        <v>5200</v>
      </c>
      <c r="F360" s="24" t="s">
        <v>327</v>
      </c>
      <c r="G360" s="24" t="s">
        <v>327</v>
      </c>
      <c r="H360" s="24" t="s">
        <v>327</v>
      </c>
      <c r="I360" s="24" t="s">
        <v>327</v>
      </c>
      <c r="J360" s="24" t="s">
        <v>327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492</v>
      </c>
      <c r="B361" s="39" t="s">
        <v>386</v>
      </c>
      <c r="C361" s="40">
        <v>5</v>
      </c>
      <c r="D361" s="39" t="s">
        <v>282</v>
      </c>
      <c r="E361" s="40"/>
      <c r="F361" s="47">
        <f t="shared" ref="F361:L361" si="22">SUM(F357:F360)</f>
        <v>152696</v>
      </c>
      <c r="G361" s="47">
        <f t="shared" si="22"/>
        <v>65584</v>
      </c>
      <c r="H361" s="47">
        <f t="shared" si="22"/>
        <v>4434</v>
      </c>
      <c r="I361" s="47">
        <f t="shared" si="22"/>
        <v>145582</v>
      </c>
      <c r="J361" s="47">
        <f t="shared" si="22"/>
        <v>5029</v>
      </c>
      <c r="K361" s="47">
        <f t="shared" si="22"/>
        <v>644</v>
      </c>
      <c r="L361" s="47">
        <f t="shared" si="22"/>
        <v>373969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389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472</v>
      </c>
      <c r="G364" s="57" t="s">
        <v>473</v>
      </c>
      <c r="H364" s="57" t="s">
        <v>474</v>
      </c>
      <c r="I364" s="57" t="s">
        <v>475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385</v>
      </c>
      <c r="G365" s="60" t="s">
        <v>538</v>
      </c>
      <c r="H365" s="60" t="s">
        <v>387</v>
      </c>
      <c r="I365" s="60" t="s">
        <v>201</v>
      </c>
      <c r="J365" s="24" t="s">
        <v>327</v>
      </c>
      <c r="K365" s="24" t="s">
        <v>327</v>
      </c>
      <c r="L365" s="24" t="s">
        <v>327</v>
      </c>
      <c r="M365" s="8"/>
    </row>
    <row r="366" spans="1:13" s="3" customFormat="1" ht="12" customHeight="1" x14ac:dyDescent="0.15">
      <c r="A366" s="58" t="s">
        <v>539</v>
      </c>
      <c r="B366" s="2" t="s">
        <v>386</v>
      </c>
      <c r="C366" s="2" t="s">
        <v>331</v>
      </c>
      <c r="D366" s="2" t="s">
        <v>283</v>
      </c>
      <c r="E366" s="2"/>
      <c r="F366" s="18">
        <f>57343-455-349-259-432-617</f>
        <v>55231</v>
      </c>
      <c r="G366" s="18">
        <f>29896-151-3-210</f>
        <v>29532</v>
      </c>
      <c r="H366" s="18">
        <f>58343-5-307-407</f>
        <v>57624</v>
      </c>
      <c r="I366" s="56">
        <f>SUM(F366:H366)</f>
        <v>142387</v>
      </c>
      <c r="J366" s="24" t="s">
        <v>327</v>
      </c>
      <c r="K366" s="24" t="s">
        <v>327</v>
      </c>
      <c r="L366" s="24" t="s">
        <v>327</v>
      </c>
      <c r="M366" s="8"/>
    </row>
    <row r="367" spans="1:13" s="3" customFormat="1" ht="12" customHeight="1" thickBot="1" x14ac:dyDescent="0.2">
      <c r="A367" s="61" t="s">
        <v>540</v>
      </c>
      <c r="B367" s="62" t="s">
        <v>386</v>
      </c>
      <c r="C367" s="62" t="s">
        <v>332</v>
      </c>
      <c r="D367" s="2" t="s">
        <v>283</v>
      </c>
      <c r="E367" s="62"/>
      <c r="F367" s="63">
        <f>455+349+259+432+617</f>
        <v>2112</v>
      </c>
      <c r="G367" s="63">
        <f>151+3+210</f>
        <v>364</v>
      </c>
      <c r="H367" s="63">
        <f>307+407+5</f>
        <v>719</v>
      </c>
      <c r="I367" s="56">
        <f>SUM(F367:H367)</f>
        <v>3195</v>
      </c>
      <c r="J367" s="24" t="s">
        <v>327</v>
      </c>
      <c r="K367" s="24" t="s">
        <v>327</v>
      </c>
      <c r="L367" s="24" t="s">
        <v>327</v>
      </c>
      <c r="M367" s="8"/>
    </row>
    <row r="368" spans="1:13" s="3" customFormat="1" ht="12" customHeight="1" thickTop="1" x14ac:dyDescent="0.15">
      <c r="A368" s="34" t="s">
        <v>201</v>
      </c>
      <c r="B368" s="2" t="s">
        <v>386</v>
      </c>
      <c r="C368" s="2" t="s">
        <v>333</v>
      </c>
      <c r="D368" s="39" t="s">
        <v>283</v>
      </c>
      <c r="E368" s="2"/>
      <c r="F368" s="47">
        <f>SUM(F366:F367)</f>
        <v>57343</v>
      </c>
      <c r="G368" s="47">
        <f>SUM(G366:G367)</f>
        <v>29896</v>
      </c>
      <c r="H368" s="47">
        <f>SUM(H366:H367)</f>
        <v>58343</v>
      </c>
      <c r="I368" s="47">
        <f>SUM(I366:I367)</f>
        <v>145582</v>
      </c>
      <c r="J368" s="24" t="s">
        <v>327</v>
      </c>
      <c r="K368" s="24" t="s">
        <v>327</v>
      </c>
      <c r="L368" s="24" t="s">
        <v>327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322</v>
      </c>
      <c r="B370" s="2"/>
      <c r="C370" s="2"/>
      <c r="D370" s="2"/>
      <c r="E370" s="2"/>
      <c r="F370" s="177" t="s">
        <v>594</v>
      </c>
      <c r="G370" s="177" t="s">
        <v>595</v>
      </c>
      <c r="H370" s="177" t="s">
        <v>596</v>
      </c>
      <c r="I370" s="177" t="s">
        <v>597</v>
      </c>
      <c r="J370" s="177" t="s">
        <v>598</v>
      </c>
      <c r="K370" s="177" t="s">
        <v>716</v>
      </c>
      <c r="L370" s="13"/>
      <c r="M370" s="8"/>
    </row>
    <row r="371" spans="1:13" s="3" customFormat="1" ht="12" customHeight="1" x14ac:dyDescent="0.15">
      <c r="A371" s="34" t="s">
        <v>383</v>
      </c>
      <c r="B371" s="2"/>
      <c r="C371" s="2"/>
      <c r="D371" s="2"/>
      <c r="E371" s="2"/>
      <c r="F371" s="103" t="s">
        <v>136</v>
      </c>
      <c r="G371" s="103" t="s">
        <v>137</v>
      </c>
      <c r="H371" s="103" t="s">
        <v>138</v>
      </c>
      <c r="I371" s="103" t="s">
        <v>139</v>
      </c>
      <c r="J371" s="103" t="s">
        <v>140</v>
      </c>
      <c r="K371" s="103" t="s">
        <v>141</v>
      </c>
      <c r="L371" s="103" t="s">
        <v>91</v>
      </c>
      <c r="M371" s="8"/>
    </row>
    <row r="372" spans="1:13" s="3" customFormat="1" ht="12" customHeight="1" x14ac:dyDescent="0.15">
      <c r="A372" s="27" t="s">
        <v>541</v>
      </c>
      <c r="B372" s="2"/>
      <c r="C372" s="2"/>
      <c r="D372" s="2"/>
      <c r="E372" s="6">
        <v>4000</v>
      </c>
      <c r="F372" s="24" t="s">
        <v>327</v>
      </c>
      <c r="G372" s="24" t="s">
        <v>327</v>
      </c>
      <c r="H372" s="24" t="s">
        <v>327</v>
      </c>
      <c r="I372" s="24" t="s">
        <v>327</v>
      </c>
      <c r="J372" s="24" t="s">
        <v>327</v>
      </c>
      <c r="K372" s="24" t="s">
        <v>327</v>
      </c>
      <c r="L372" s="24" t="s">
        <v>327</v>
      </c>
      <c r="M372" s="8"/>
    </row>
    <row r="373" spans="1:13" s="3" customFormat="1" ht="12" customHeight="1" x14ac:dyDescent="0.15">
      <c r="A373" s="1" t="s">
        <v>569</v>
      </c>
      <c r="B373" s="2" t="s">
        <v>386</v>
      </c>
      <c r="C373" s="2" t="s">
        <v>334</v>
      </c>
      <c r="D373" s="2" t="s">
        <v>282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570</v>
      </c>
      <c r="B374" s="2" t="s">
        <v>386</v>
      </c>
      <c r="C374" s="2" t="s">
        <v>335</v>
      </c>
      <c r="D374" s="2" t="s">
        <v>282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571</v>
      </c>
      <c r="B375" s="2" t="s">
        <v>386</v>
      </c>
      <c r="C375" s="2" t="s">
        <v>336</v>
      </c>
      <c r="D375" s="2" t="s">
        <v>282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572</v>
      </c>
      <c r="B376" s="2" t="s">
        <v>386</v>
      </c>
      <c r="C376" s="2" t="s">
        <v>204</v>
      </c>
      <c r="D376" s="2" t="s">
        <v>282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573</v>
      </c>
      <c r="B377" s="2" t="s">
        <v>386</v>
      </c>
      <c r="C377" s="2" t="s">
        <v>205</v>
      </c>
      <c r="D377" s="2" t="s">
        <v>282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436</v>
      </c>
      <c r="B378" s="2" t="s">
        <v>386</v>
      </c>
      <c r="C378" s="2" t="s">
        <v>206</v>
      </c>
      <c r="D378" s="2" t="s">
        <v>282</v>
      </c>
      <c r="E378" s="6">
        <v>4600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536</v>
      </c>
      <c r="B379" s="2" t="s">
        <v>386</v>
      </c>
      <c r="C379" s="2" t="s">
        <v>208</v>
      </c>
      <c r="D379" s="2" t="s">
        <v>282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225</v>
      </c>
      <c r="B380" s="2" t="s">
        <v>386</v>
      </c>
      <c r="C380" s="2" t="s">
        <v>209</v>
      </c>
      <c r="D380" s="2" t="s">
        <v>282</v>
      </c>
      <c r="E380" s="6">
        <v>5200</v>
      </c>
      <c r="F380" s="24" t="s">
        <v>327</v>
      </c>
      <c r="G380" s="24" t="s">
        <v>327</v>
      </c>
      <c r="H380" s="24" t="s">
        <v>327</v>
      </c>
      <c r="I380" s="24" t="s">
        <v>327</v>
      </c>
      <c r="J380" s="24" t="s">
        <v>327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492</v>
      </c>
      <c r="B381" s="39" t="s">
        <v>386</v>
      </c>
      <c r="C381" s="39" t="s">
        <v>210</v>
      </c>
      <c r="D381" s="39" t="s">
        <v>282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505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506</v>
      </c>
      <c r="B384" s="2"/>
      <c r="C384" s="2"/>
      <c r="D384" s="2"/>
      <c r="E384" s="2"/>
      <c r="F384" s="16"/>
      <c r="G384" s="16" t="s">
        <v>542</v>
      </c>
      <c r="H384" s="16" t="s">
        <v>543</v>
      </c>
      <c r="I384" s="16" t="s">
        <v>174</v>
      </c>
      <c r="J384" s="56"/>
      <c r="K384" s="56"/>
      <c r="L384" s="56"/>
      <c r="M384" s="8"/>
    </row>
    <row r="385" spans="1:13" s="3" customFormat="1" ht="12" customHeight="1" x14ac:dyDescent="0.15">
      <c r="A385" s="26" t="s">
        <v>544</v>
      </c>
      <c r="B385" s="2"/>
      <c r="C385" s="2"/>
      <c r="D385" s="2"/>
      <c r="F385" s="16" t="s">
        <v>398</v>
      </c>
      <c r="G385" s="16" t="s">
        <v>399</v>
      </c>
      <c r="H385" s="16" t="s">
        <v>400</v>
      </c>
      <c r="I385" s="16" t="s">
        <v>401</v>
      </c>
      <c r="J385" s="56"/>
      <c r="K385" s="56"/>
      <c r="L385" s="77" t="s">
        <v>201</v>
      </c>
      <c r="M385" s="8"/>
    </row>
    <row r="386" spans="1:13" s="3" customFormat="1" ht="12" customHeight="1" x14ac:dyDescent="0.15">
      <c r="A386" s="79" t="s">
        <v>437</v>
      </c>
      <c r="B386" s="2" t="s">
        <v>402</v>
      </c>
      <c r="C386" s="6">
        <v>1</v>
      </c>
      <c r="D386" s="2" t="s">
        <v>283</v>
      </c>
      <c r="F386" s="18"/>
      <c r="G386" s="18"/>
      <c r="H386" s="18"/>
      <c r="I386" s="18"/>
      <c r="J386" s="24" t="s">
        <v>327</v>
      </c>
      <c r="K386" s="24" t="s">
        <v>327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438</v>
      </c>
      <c r="B387" s="2" t="s">
        <v>402</v>
      </c>
      <c r="C387" s="6">
        <v>2</v>
      </c>
      <c r="D387" s="2" t="s">
        <v>283</v>
      </c>
      <c r="E387" s="6"/>
      <c r="F387" s="18"/>
      <c r="G387" s="18"/>
      <c r="H387" s="18"/>
      <c r="I387" s="18"/>
      <c r="J387" s="24" t="s">
        <v>327</v>
      </c>
      <c r="K387" s="24" t="s">
        <v>327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439</v>
      </c>
      <c r="B388" s="2" t="s">
        <v>402</v>
      </c>
      <c r="C388" s="6">
        <v>3</v>
      </c>
      <c r="D388" s="2" t="s">
        <v>283</v>
      </c>
      <c r="E388" s="6"/>
      <c r="F388" s="18"/>
      <c r="G388" s="18"/>
      <c r="H388" s="18">
        <v>160</v>
      </c>
      <c r="I388" s="18"/>
      <c r="J388" s="24" t="s">
        <v>327</v>
      </c>
      <c r="K388" s="24" t="s">
        <v>327</v>
      </c>
      <c r="L388" s="56">
        <f t="shared" si="25"/>
        <v>160</v>
      </c>
      <c r="M388" s="8"/>
    </row>
    <row r="389" spans="1:13" s="3" customFormat="1" ht="12" customHeight="1" x14ac:dyDescent="0.15">
      <c r="A389" s="79" t="s">
        <v>576</v>
      </c>
      <c r="B389" s="2" t="s">
        <v>402</v>
      </c>
      <c r="C389" s="6">
        <v>4</v>
      </c>
      <c r="D389" s="2" t="s">
        <v>283</v>
      </c>
      <c r="E389" s="6"/>
      <c r="F389" s="18"/>
      <c r="G389" s="18"/>
      <c r="H389" s="18"/>
      <c r="I389" s="18"/>
      <c r="J389" s="24" t="s">
        <v>327</v>
      </c>
      <c r="K389" s="24" t="s">
        <v>327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577</v>
      </c>
      <c r="B390" s="2" t="s">
        <v>402</v>
      </c>
      <c r="C390" s="6">
        <v>5</v>
      </c>
      <c r="D390" s="2" t="s">
        <v>283</v>
      </c>
      <c r="E390" s="6"/>
      <c r="F390" s="18"/>
      <c r="G390" s="18"/>
      <c r="H390" s="18"/>
      <c r="I390" s="18"/>
      <c r="J390" s="24" t="s">
        <v>327</v>
      </c>
      <c r="K390" s="24" t="s">
        <v>327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578</v>
      </c>
      <c r="B391" s="2" t="s">
        <v>402</v>
      </c>
      <c r="C391" s="6">
        <v>6</v>
      </c>
      <c r="D391" s="2" t="s">
        <v>283</v>
      </c>
      <c r="E391" s="6"/>
      <c r="F391" s="18"/>
      <c r="G391" s="18">
        <v>25000</v>
      </c>
      <c r="H391" s="18">
        <v>6</v>
      </c>
      <c r="I391" s="18"/>
      <c r="J391" s="24" t="s">
        <v>327</v>
      </c>
      <c r="K391" s="24" t="s">
        <v>327</v>
      </c>
      <c r="L391" s="56">
        <f t="shared" si="25"/>
        <v>25006</v>
      </c>
      <c r="M391" s="8"/>
    </row>
    <row r="392" spans="1:13" s="3" customFormat="1" ht="12" customHeight="1" thickTop="1" x14ac:dyDescent="0.15">
      <c r="A392" s="160" t="s">
        <v>341</v>
      </c>
      <c r="B392" s="2" t="s">
        <v>402</v>
      </c>
      <c r="C392" s="6">
        <v>7</v>
      </c>
      <c r="D392" s="2" t="s">
        <v>283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166</v>
      </c>
      <c r="I392" s="65">
        <f>SUM(I386:I391)</f>
        <v>0</v>
      </c>
      <c r="J392" s="45" t="s">
        <v>327</v>
      </c>
      <c r="K392" s="45" t="s">
        <v>327</v>
      </c>
      <c r="L392" s="47">
        <f>SUM(L386:L391)</f>
        <v>25166</v>
      </c>
      <c r="M392" s="8"/>
    </row>
    <row r="393" spans="1:13" s="3" customFormat="1" ht="12" customHeight="1" x14ac:dyDescent="0.15">
      <c r="A393" s="78" t="s">
        <v>403</v>
      </c>
      <c r="B393" s="2"/>
      <c r="C393" s="6"/>
      <c r="D393" s="6"/>
      <c r="F393" s="24" t="s">
        <v>327</v>
      </c>
      <c r="G393" s="24" t="s">
        <v>327</v>
      </c>
      <c r="H393" s="24" t="s">
        <v>327</v>
      </c>
      <c r="I393" s="24" t="s">
        <v>327</v>
      </c>
      <c r="J393" s="24" t="s">
        <v>327</v>
      </c>
      <c r="K393" s="24" t="s">
        <v>327</v>
      </c>
      <c r="L393" s="24" t="s">
        <v>327</v>
      </c>
      <c r="M393" s="8"/>
    </row>
    <row r="394" spans="1:13" s="3" customFormat="1" ht="12" customHeight="1" x14ac:dyDescent="0.15">
      <c r="A394" s="79" t="s">
        <v>579</v>
      </c>
      <c r="B394" s="2" t="s">
        <v>402</v>
      </c>
      <c r="C394" s="6">
        <v>8</v>
      </c>
      <c r="D394" s="2" t="s">
        <v>283</v>
      </c>
      <c r="E394" s="6"/>
      <c r="F394" s="18"/>
      <c r="G394" s="18">
        <v>25000</v>
      </c>
      <c r="H394" s="18">
        <v>84</v>
      </c>
      <c r="I394" s="18"/>
      <c r="J394" s="24" t="s">
        <v>327</v>
      </c>
      <c r="K394" s="24" t="s">
        <v>327</v>
      </c>
      <c r="L394" s="56">
        <f t="shared" ref="L394:L399" si="26">SUM(F394:K394)</f>
        <v>25084</v>
      </c>
      <c r="M394" s="8"/>
    </row>
    <row r="395" spans="1:13" s="3" customFormat="1" ht="12" customHeight="1" x14ac:dyDescent="0.15">
      <c r="A395" s="79" t="s">
        <v>580</v>
      </c>
      <c r="B395" s="2" t="s">
        <v>402</v>
      </c>
      <c r="C395" s="6">
        <v>9</v>
      </c>
      <c r="D395" s="2" t="s">
        <v>283</v>
      </c>
      <c r="E395" s="6"/>
      <c r="F395" s="18"/>
      <c r="G395" s="18"/>
      <c r="H395" s="18" t="s">
        <v>58</v>
      </c>
      <c r="I395" s="18"/>
      <c r="J395" s="24" t="s">
        <v>327</v>
      </c>
      <c r="K395" s="24" t="s">
        <v>327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667</v>
      </c>
      <c r="B396" s="2" t="s">
        <v>402</v>
      </c>
      <c r="C396" s="6">
        <v>10</v>
      </c>
      <c r="D396" s="2" t="s">
        <v>283</v>
      </c>
      <c r="E396" s="6"/>
      <c r="F396" s="18"/>
      <c r="G396" s="18"/>
      <c r="H396" s="18">
        <v>488</v>
      </c>
      <c r="I396" s="18"/>
      <c r="J396" s="24" t="s">
        <v>327</v>
      </c>
      <c r="K396" s="24" t="s">
        <v>327</v>
      </c>
      <c r="L396" s="56">
        <f t="shared" si="26"/>
        <v>488</v>
      </c>
      <c r="M396" s="8"/>
    </row>
    <row r="397" spans="1:13" s="3" customFormat="1" ht="12" customHeight="1" x14ac:dyDescent="0.15">
      <c r="A397" s="79" t="s">
        <v>444</v>
      </c>
      <c r="B397" s="2" t="s">
        <v>402</v>
      </c>
      <c r="C397" s="6">
        <v>11</v>
      </c>
      <c r="D397" s="2" t="s">
        <v>283</v>
      </c>
      <c r="E397" s="6"/>
      <c r="F397" s="18"/>
      <c r="G397" s="18"/>
      <c r="H397" s="18"/>
      <c r="I397" s="18"/>
      <c r="J397" s="24" t="s">
        <v>327</v>
      </c>
      <c r="K397" s="24" t="s">
        <v>327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445</v>
      </c>
      <c r="B398" s="2" t="s">
        <v>402</v>
      </c>
      <c r="C398" s="6">
        <v>12</v>
      </c>
      <c r="D398" s="2" t="s">
        <v>283</v>
      </c>
      <c r="E398" s="6"/>
      <c r="F398" s="18"/>
      <c r="G398" s="18"/>
      <c r="H398" s="18"/>
      <c r="I398" s="18"/>
      <c r="J398" s="24" t="s">
        <v>327</v>
      </c>
      <c r="K398" s="24" t="s">
        <v>327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536</v>
      </c>
      <c r="B399" s="2" t="s">
        <v>402</v>
      </c>
      <c r="C399" s="6">
        <v>13</v>
      </c>
      <c r="D399" s="2" t="s">
        <v>283</v>
      </c>
      <c r="E399" s="6"/>
      <c r="F399" s="18" t="s">
        <v>58</v>
      </c>
      <c r="G399" s="18"/>
      <c r="H399" s="18" t="s">
        <v>58</v>
      </c>
      <c r="I399" s="18"/>
      <c r="J399" s="24" t="s">
        <v>327</v>
      </c>
      <c r="K399" s="24" t="s">
        <v>327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493</v>
      </c>
      <c r="B400" s="2" t="s">
        <v>402</v>
      </c>
      <c r="C400" s="6">
        <v>14</v>
      </c>
      <c r="D400" s="2" t="s">
        <v>283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572</v>
      </c>
      <c r="I400" s="47">
        <f>SUM(I394:I399)</f>
        <v>0</v>
      </c>
      <c r="J400" s="45" t="s">
        <v>327</v>
      </c>
      <c r="K400" s="45" t="s">
        <v>327</v>
      </c>
      <c r="L400" s="47">
        <f>SUM(L394:L399)</f>
        <v>25572</v>
      </c>
      <c r="M400" s="8"/>
    </row>
    <row r="401" spans="1:21" s="3" customFormat="1" ht="12" customHeight="1" x14ac:dyDescent="0.15">
      <c r="A401" s="78" t="s">
        <v>404</v>
      </c>
      <c r="B401" s="2"/>
      <c r="C401" s="2"/>
      <c r="D401" s="2"/>
      <c r="F401" s="24" t="s">
        <v>327</v>
      </c>
      <c r="G401" s="24" t="s">
        <v>327</v>
      </c>
      <c r="H401" s="24" t="s">
        <v>327</v>
      </c>
      <c r="I401" s="24" t="s">
        <v>327</v>
      </c>
      <c r="J401" s="24" t="s">
        <v>327</v>
      </c>
      <c r="K401" s="24" t="s">
        <v>327</v>
      </c>
      <c r="L401" s="24" t="s">
        <v>327</v>
      </c>
      <c r="M401" s="8"/>
    </row>
    <row r="402" spans="1:21" s="3" customFormat="1" ht="12" customHeight="1" x14ac:dyDescent="0.15">
      <c r="A402" s="110"/>
      <c r="B402" s="2" t="s">
        <v>402</v>
      </c>
      <c r="C402" s="6">
        <v>15</v>
      </c>
      <c r="D402" s="2" t="s">
        <v>283</v>
      </c>
      <c r="E402" s="6"/>
      <c r="F402" s="18"/>
      <c r="G402" s="18"/>
      <c r="H402" s="18"/>
      <c r="I402" s="18"/>
      <c r="J402" s="24" t="s">
        <v>327</v>
      </c>
      <c r="K402" s="24" t="s">
        <v>327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402</v>
      </c>
      <c r="C403" s="6">
        <v>16</v>
      </c>
      <c r="D403" s="2" t="s">
        <v>283</v>
      </c>
      <c r="E403" s="6"/>
      <c r="F403" s="18"/>
      <c r="G403" s="18"/>
      <c r="H403" s="18"/>
      <c r="I403" s="18"/>
      <c r="J403" s="24" t="s">
        <v>327</v>
      </c>
      <c r="K403" s="24" t="s">
        <v>327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402</v>
      </c>
      <c r="C404" s="6">
        <v>17</v>
      </c>
      <c r="D404" s="2" t="s">
        <v>283</v>
      </c>
      <c r="E404" s="6"/>
      <c r="F404" s="18"/>
      <c r="G404" s="18"/>
      <c r="H404" s="18"/>
      <c r="I404" s="18"/>
      <c r="J404" s="24" t="s">
        <v>327</v>
      </c>
      <c r="K404" s="24" t="s">
        <v>327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402</v>
      </c>
      <c r="C405" s="6">
        <v>18</v>
      </c>
      <c r="D405" s="2" t="s">
        <v>283</v>
      </c>
      <c r="E405" s="6"/>
      <c r="F405" s="18"/>
      <c r="G405" s="18"/>
      <c r="H405" s="18"/>
      <c r="I405" s="18"/>
      <c r="J405" s="24" t="s">
        <v>327</v>
      </c>
      <c r="K405" s="24" t="s">
        <v>327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342</v>
      </c>
      <c r="B406" s="2" t="s">
        <v>402</v>
      </c>
      <c r="C406" s="6">
        <v>19</v>
      </c>
      <c r="D406" s="2" t="s">
        <v>283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327</v>
      </c>
      <c r="K406" s="49" t="s">
        <v>327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441</v>
      </c>
      <c r="B407" s="2" t="s">
        <v>402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738</v>
      </c>
      <c r="I407" s="47">
        <f>I392+I400+I406</f>
        <v>0</v>
      </c>
      <c r="J407" s="24" t="s">
        <v>327</v>
      </c>
      <c r="K407" s="24" t="s">
        <v>327</v>
      </c>
      <c r="L407" s="47">
        <f>L392+L400+L406</f>
        <v>50738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594</v>
      </c>
      <c r="G408" s="177" t="s">
        <v>595</v>
      </c>
      <c r="H408" s="177" t="s">
        <v>596</v>
      </c>
      <c r="I408" s="177" t="s">
        <v>597</v>
      </c>
      <c r="J408" s="177" t="s">
        <v>598</v>
      </c>
      <c r="K408" s="177" t="s">
        <v>716</v>
      </c>
      <c r="L408" s="56"/>
      <c r="M408" s="8"/>
    </row>
    <row r="409" spans="1:21" s="3" customFormat="1" ht="12" customHeight="1" x14ac:dyDescent="0.15">
      <c r="A409" s="26" t="s">
        <v>505</v>
      </c>
      <c r="B409" s="76"/>
      <c r="C409" s="76"/>
      <c r="D409" s="76"/>
      <c r="E409" s="76"/>
      <c r="F409" s="66"/>
      <c r="G409" s="16" t="s">
        <v>405</v>
      </c>
      <c r="H409" s="16" t="s">
        <v>406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358</v>
      </c>
      <c r="B410" s="2"/>
      <c r="C410" s="2"/>
      <c r="D410" s="2"/>
      <c r="E410" s="2"/>
      <c r="F410" s="16" t="s">
        <v>196</v>
      </c>
      <c r="G410" s="16" t="s">
        <v>198</v>
      </c>
      <c r="H410" s="16" t="s">
        <v>407</v>
      </c>
      <c r="I410" s="16" t="s">
        <v>199</v>
      </c>
      <c r="J410" s="56" t="s">
        <v>200</v>
      </c>
      <c r="K410" s="56" t="s">
        <v>217</v>
      </c>
      <c r="L410" s="77" t="s">
        <v>201</v>
      </c>
      <c r="M410" s="8"/>
    </row>
    <row r="411" spans="1:21" s="3" customFormat="1" ht="12" customHeight="1" x14ac:dyDescent="0.15">
      <c r="A411" s="26" t="s">
        <v>544</v>
      </c>
      <c r="B411" s="2"/>
      <c r="C411" s="2"/>
      <c r="D411" s="2"/>
      <c r="F411" s="24" t="s">
        <v>327</v>
      </c>
      <c r="G411" s="24" t="s">
        <v>327</v>
      </c>
      <c r="H411" s="24" t="s">
        <v>327</v>
      </c>
      <c r="I411" s="24" t="s">
        <v>327</v>
      </c>
      <c r="J411" s="24" t="s">
        <v>327</v>
      </c>
      <c r="K411" s="24" t="s">
        <v>327</v>
      </c>
      <c r="L411" s="24" t="s">
        <v>327</v>
      </c>
      <c r="M411" s="8"/>
    </row>
    <row r="412" spans="1:21" s="3" customFormat="1" ht="12" customHeight="1" x14ac:dyDescent="0.15">
      <c r="A412" s="79" t="s">
        <v>437</v>
      </c>
      <c r="B412" s="6">
        <v>17</v>
      </c>
      <c r="C412" s="6">
        <v>1</v>
      </c>
      <c r="D412" s="2" t="s">
        <v>283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438</v>
      </c>
      <c r="B413" s="6">
        <v>17</v>
      </c>
      <c r="C413" s="6">
        <v>2</v>
      </c>
      <c r="D413" s="2" t="s">
        <v>283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439</v>
      </c>
      <c r="B414" s="6">
        <v>17</v>
      </c>
      <c r="C414" s="6">
        <v>3</v>
      </c>
      <c r="D414" s="2" t="s">
        <v>283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576</v>
      </c>
      <c r="B415" s="6">
        <v>17</v>
      </c>
      <c r="C415" s="6">
        <v>4</v>
      </c>
      <c r="D415" s="2" t="s">
        <v>283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577</v>
      </c>
      <c r="B416" s="6">
        <v>17</v>
      </c>
      <c r="C416" s="6">
        <v>5</v>
      </c>
      <c r="D416" s="2" t="s">
        <v>283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578</v>
      </c>
      <c r="B417" s="6">
        <v>17</v>
      </c>
      <c r="C417" s="6">
        <v>6</v>
      </c>
      <c r="D417" s="2" t="s">
        <v>283</v>
      </c>
      <c r="E417" s="6"/>
      <c r="F417" s="18"/>
      <c r="G417" s="18"/>
      <c r="H417" s="18"/>
      <c r="I417" s="18"/>
      <c r="J417" s="18">
        <v>27231</v>
      </c>
      <c r="K417" s="18"/>
      <c r="L417" s="56">
        <f t="shared" si="27"/>
        <v>27231</v>
      </c>
      <c r="M417" s="8"/>
    </row>
    <row r="418" spans="1:21" s="3" customFormat="1" ht="12" customHeight="1" thickTop="1" x14ac:dyDescent="0.15">
      <c r="A418" s="160" t="s">
        <v>341</v>
      </c>
      <c r="B418" s="6">
        <v>17</v>
      </c>
      <c r="C418" s="6">
        <v>7</v>
      </c>
      <c r="D418" s="2" t="s">
        <v>283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27231</v>
      </c>
      <c r="K418" s="139">
        <f t="shared" si="28"/>
        <v>0</v>
      </c>
      <c r="L418" s="47">
        <f t="shared" si="28"/>
        <v>27231</v>
      </c>
      <c r="M418" s="8"/>
    </row>
    <row r="419" spans="1:21" s="3" customFormat="1" ht="12" customHeight="1" x14ac:dyDescent="0.15">
      <c r="A419" s="78" t="s">
        <v>403</v>
      </c>
      <c r="B419" s="2"/>
      <c r="C419" s="6"/>
      <c r="D419" s="6"/>
      <c r="F419" s="24" t="s">
        <v>327</v>
      </c>
      <c r="G419" s="24" t="s">
        <v>327</v>
      </c>
      <c r="H419" s="24" t="s">
        <v>327</v>
      </c>
      <c r="I419" s="24" t="s">
        <v>327</v>
      </c>
      <c r="J419" s="24" t="s">
        <v>327</v>
      </c>
      <c r="K419" s="24" t="s">
        <v>327</v>
      </c>
      <c r="L419" s="24" t="s">
        <v>327</v>
      </c>
      <c r="M419" s="8"/>
    </row>
    <row r="420" spans="1:21" s="3" customFormat="1" ht="12" customHeight="1" x14ac:dyDescent="0.15">
      <c r="A420" s="79" t="s">
        <v>579</v>
      </c>
      <c r="B420" s="6">
        <v>17</v>
      </c>
      <c r="C420" s="6">
        <v>8</v>
      </c>
      <c r="D420" s="2" t="s">
        <v>283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580</v>
      </c>
      <c r="B421" s="6">
        <v>17</v>
      </c>
      <c r="C421" s="6">
        <v>9</v>
      </c>
      <c r="D421" s="2" t="s">
        <v>283</v>
      </c>
      <c r="E421" s="6"/>
      <c r="F421" s="18"/>
      <c r="G421" s="18"/>
      <c r="H421" s="18"/>
      <c r="I421" s="18"/>
      <c r="J421" s="18">
        <v>13735</v>
      </c>
      <c r="K421" s="18"/>
      <c r="L421" s="56">
        <f t="shared" si="29"/>
        <v>13735</v>
      </c>
      <c r="M421" s="8"/>
    </row>
    <row r="422" spans="1:21" s="3" customFormat="1" ht="12" customHeight="1" x14ac:dyDescent="0.15">
      <c r="A422" s="79" t="s">
        <v>667</v>
      </c>
      <c r="B422" s="6">
        <v>17</v>
      </c>
      <c r="C422" s="6">
        <v>10</v>
      </c>
      <c r="D422" s="2" t="s">
        <v>283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444</v>
      </c>
      <c r="B423" s="6">
        <v>17</v>
      </c>
      <c r="C423" s="6">
        <v>11</v>
      </c>
      <c r="D423" s="2" t="s">
        <v>283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445</v>
      </c>
      <c r="B424" s="6">
        <v>17</v>
      </c>
      <c r="C424" s="6">
        <v>12</v>
      </c>
      <c r="D424" s="2" t="s">
        <v>283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536</v>
      </c>
      <c r="B425" s="6">
        <v>17</v>
      </c>
      <c r="C425" s="6">
        <v>13</v>
      </c>
      <c r="D425" s="2" t="s">
        <v>283</v>
      </c>
      <c r="E425" s="6"/>
      <c r="F425" s="18"/>
      <c r="G425" s="18"/>
      <c r="H425" s="18"/>
      <c r="I425" s="18"/>
      <c r="J425" s="18" t="s">
        <v>58</v>
      </c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493</v>
      </c>
      <c r="B426" s="6">
        <v>17</v>
      </c>
      <c r="C426" s="6">
        <v>14</v>
      </c>
      <c r="D426" s="2" t="s">
        <v>283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13735</v>
      </c>
      <c r="K426" s="47">
        <f t="shared" si="30"/>
        <v>0</v>
      </c>
      <c r="L426" s="47">
        <f t="shared" si="30"/>
        <v>13735</v>
      </c>
      <c r="M426" s="8"/>
    </row>
    <row r="427" spans="1:21" s="11" customFormat="1" ht="12" customHeight="1" x14ac:dyDescent="0.15">
      <c r="A427" s="78" t="s">
        <v>404</v>
      </c>
      <c r="B427" s="2"/>
      <c r="C427" s="2"/>
      <c r="D427" s="2"/>
      <c r="E427" s="3"/>
      <c r="F427" s="24" t="s">
        <v>327</v>
      </c>
      <c r="G427" s="24" t="s">
        <v>327</v>
      </c>
      <c r="H427" s="24" t="s">
        <v>327</v>
      </c>
      <c r="I427" s="24" t="s">
        <v>327</v>
      </c>
      <c r="J427" s="24" t="s">
        <v>327</v>
      </c>
      <c r="K427" s="24" t="s">
        <v>327</v>
      </c>
      <c r="L427" s="24" t="s">
        <v>327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283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283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283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283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342</v>
      </c>
      <c r="B432" s="6">
        <v>17</v>
      </c>
      <c r="C432" s="6">
        <v>19</v>
      </c>
      <c r="D432" s="2" t="s">
        <v>283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442</v>
      </c>
      <c r="B433" s="6">
        <v>17</v>
      </c>
      <c r="C433" s="6">
        <v>20</v>
      </c>
      <c r="D433" s="2" t="s">
        <v>283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40966</v>
      </c>
      <c r="K433" s="47">
        <f t="shared" si="32"/>
        <v>0</v>
      </c>
      <c r="L433" s="47">
        <f t="shared" si="32"/>
        <v>40966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28</v>
      </c>
      <c r="K435" s="56"/>
      <c r="L435" s="13"/>
      <c r="M435" s="8"/>
    </row>
    <row r="436" spans="1:13" s="3" customFormat="1" ht="12" customHeight="1" x14ac:dyDescent="0.15">
      <c r="A436" s="34" t="s">
        <v>29</v>
      </c>
      <c r="F436" s="23" t="s">
        <v>88</v>
      </c>
      <c r="G436" s="23" t="s">
        <v>89</v>
      </c>
      <c r="H436" s="23" t="s">
        <v>90</v>
      </c>
      <c r="I436" s="23" t="s">
        <v>91</v>
      </c>
      <c r="M436" s="8"/>
    </row>
    <row r="437" spans="1:13" s="3" customFormat="1" ht="12" customHeight="1" x14ac:dyDescent="0.15">
      <c r="A437" s="34" t="s">
        <v>92</v>
      </c>
      <c r="B437" s="23"/>
      <c r="C437" s="23"/>
      <c r="D437" s="23"/>
      <c r="E437" s="23"/>
      <c r="F437" s="24" t="s">
        <v>327</v>
      </c>
      <c r="G437" s="24" t="s">
        <v>327</v>
      </c>
      <c r="H437" s="24" t="s">
        <v>327</v>
      </c>
      <c r="I437" s="24" t="s">
        <v>327</v>
      </c>
      <c r="J437" s="24" t="s">
        <v>327</v>
      </c>
      <c r="K437" s="24" t="s">
        <v>327</v>
      </c>
      <c r="L437" s="24" t="s">
        <v>327</v>
      </c>
      <c r="M437" s="8"/>
    </row>
    <row r="438" spans="1:13" s="3" customFormat="1" ht="12" customHeight="1" x14ac:dyDescent="0.15">
      <c r="A438" s="3" t="s">
        <v>447</v>
      </c>
      <c r="B438" s="23">
        <v>18</v>
      </c>
      <c r="C438" s="6">
        <v>1</v>
      </c>
      <c r="D438" s="2" t="s">
        <v>283</v>
      </c>
      <c r="E438" s="6">
        <v>100</v>
      </c>
      <c r="F438" s="18">
        <f>212604+5835</f>
        <v>218439</v>
      </c>
      <c r="G438" s="18">
        <f>169359+50132</f>
        <v>219491</v>
      </c>
      <c r="H438" s="18"/>
      <c r="I438" s="56">
        <f t="shared" ref="I438:I444" si="33">SUM(F438:H438)</f>
        <v>437930</v>
      </c>
      <c r="J438" s="24" t="s">
        <v>327</v>
      </c>
      <c r="K438" s="24" t="s">
        <v>327</v>
      </c>
      <c r="L438" s="24" t="s">
        <v>327</v>
      </c>
      <c r="M438" s="8"/>
    </row>
    <row r="439" spans="1:13" s="3" customFormat="1" ht="12" customHeight="1" x14ac:dyDescent="0.15">
      <c r="A439" s="69" t="s">
        <v>582</v>
      </c>
      <c r="B439" s="23">
        <v>18</v>
      </c>
      <c r="C439" s="6">
        <v>2</v>
      </c>
      <c r="D439" s="2" t="s">
        <v>283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327</v>
      </c>
      <c r="K439" s="24" t="s">
        <v>327</v>
      </c>
      <c r="L439" s="24" t="s">
        <v>327</v>
      </c>
      <c r="M439" s="8"/>
    </row>
    <row r="440" spans="1:13" s="3" customFormat="1" ht="12" customHeight="1" x14ac:dyDescent="0.15">
      <c r="A440" s="69" t="s">
        <v>635</v>
      </c>
      <c r="B440" s="23">
        <v>18</v>
      </c>
      <c r="C440" s="6">
        <v>3</v>
      </c>
      <c r="D440" s="2" t="s">
        <v>283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327</v>
      </c>
      <c r="K440" s="24" t="s">
        <v>327</v>
      </c>
      <c r="L440" s="24" t="s">
        <v>327</v>
      </c>
      <c r="M440" s="8"/>
    </row>
    <row r="441" spans="1:13" s="3" customFormat="1" ht="12" customHeight="1" x14ac:dyDescent="0.15">
      <c r="A441" s="69" t="s">
        <v>636</v>
      </c>
      <c r="B441" s="23">
        <v>18</v>
      </c>
      <c r="C441" s="6">
        <v>4</v>
      </c>
      <c r="D441" s="2" t="s">
        <v>283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327</v>
      </c>
      <c r="K441" s="24" t="s">
        <v>327</v>
      </c>
      <c r="L441" s="24" t="s">
        <v>327</v>
      </c>
      <c r="M441" s="8"/>
    </row>
    <row r="442" spans="1:13" s="3" customFormat="1" ht="12" customHeight="1" x14ac:dyDescent="0.15">
      <c r="A442" s="69" t="s">
        <v>449</v>
      </c>
      <c r="B442" s="23">
        <v>18</v>
      </c>
      <c r="C442" s="6">
        <v>5</v>
      </c>
      <c r="D442" s="2" t="s">
        <v>283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327</v>
      </c>
      <c r="K442" s="24" t="s">
        <v>327</v>
      </c>
      <c r="L442" s="24" t="s">
        <v>327</v>
      </c>
      <c r="M442" s="8"/>
    </row>
    <row r="443" spans="1:13" s="3" customFormat="1" ht="12" customHeight="1" x14ac:dyDescent="0.15">
      <c r="A443" s="69" t="s">
        <v>637</v>
      </c>
      <c r="B443" s="23">
        <v>18</v>
      </c>
      <c r="C443" s="6">
        <v>6</v>
      </c>
      <c r="D443" s="2" t="s">
        <v>283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327</v>
      </c>
      <c r="K443" s="24" t="s">
        <v>327</v>
      </c>
      <c r="L443" s="24" t="s">
        <v>327</v>
      </c>
      <c r="M443" s="8"/>
    </row>
    <row r="444" spans="1:13" s="3" customFormat="1" ht="12" customHeight="1" x14ac:dyDescent="0.15">
      <c r="A444" s="69" t="s">
        <v>638</v>
      </c>
      <c r="B444" s="23">
        <v>18</v>
      </c>
      <c r="C444" s="6">
        <v>7</v>
      </c>
      <c r="D444" s="2" t="s">
        <v>283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327</v>
      </c>
      <c r="K444" s="24" t="s">
        <v>327</v>
      </c>
      <c r="L444" s="24" t="s">
        <v>327</v>
      </c>
      <c r="M444" s="8"/>
    </row>
    <row r="445" spans="1:13" s="3" customFormat="1" ht="12" customHeight="1" thickBot="1" x14ac:dyDescent="0.2">
      <c r="A445" s="70" t="s">
        <v>423</v>
      </c>
      <c r="B445" s="23">
        <v>18</v>
      </c>
      <c r="C445" s="37">
        <v>8</v>
      </c>
      <c r="D445" s="2" t="s">
        <v>283</v>
      </c>
      <c r="E445" s="37"/>
      <c r="F445" s="13">
        <f>SUM(F438:F444)</f>
        <v>218439</v>
      </c>
      <c r="G445" s="13">
        <f>SUM(G438:G444)</f>
        <v>219491</v>
      </c>
      <c r="H445" s="13">
        <f>SUM(H438:H444)</f>
        <v>0</v>
      </c>
      <c r="I445" s="13">
        <f>SUM(I438:I444)</f>
        <v>437930</v>
      </c>
      <c r="J445" s="24" t="s">
        <v>327</v>
      </c>
      <c r="K445" s="24" t="s">
        <v>327</v>
      </c>
      <c r="L445" s="24" t="s">
        <v>327</v>
      </c>
      <c r="M445" s="8"/>
    </row>
    <row r="446" spans="1:13" s="3" customFormat="1" ht="12" customHeight="1" thickTop="1" x14ac:dyDescent="0.15">
      <c r="A446" s="38" t="s">
        <v>93</v>
      </c>
      <c r="B446" s="44"/>
      <c r="C446" s="40"/>
      <c r="D446" s="40"/>
      <c r="E446" s="40"/>
      <c r="F446" s="45" t="s">
        <v>327</v>
      </c>
      <c r="G446" s="45" t="s">
        <v>327</v>
      </c>
      <c r="H446" s="45" t="s">
        <v>327</v>
      </c>
      <c r="I446" s="45" t="s">
        <v>327</v>
      </c>
      <c r="J446" s="24" t="s">
        <v>327</v>
      </c>
      <c r="K446" s="24" t="s">
        <v>327</v>
      </c>
      <c r="L446" s="24" t="s">
        <v>327</v>
      </c>
      <c r="M446" s="8"/>
    </row>
    <row r="447" spans="1:13" s="3" customFormat="1" ht="12" customHeight="1" x14ac:dyDescent="0.15">
      <c r="A447" s="69" t="s">
        <v>453</v>
      </c>
      <c r="B447" s="23">
        <v>18</v>
      </c>
      <c r="C447" s="6">
        <v>9</v>
      </c>
      <c r="D447" s="2" t="s">
        <v>283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327</v>
      </c>
      <c r="K447" s="24" t="s">
        <v>327</v>
      </c>
      <c r="L447" s="24" t="s">
        <v>327</v>
      </c>
      <c r="M447" s="8"/>
    </row>
    <row r="448" spans="1:13" s="3" customFormat="1" ht="12" customHeight="1" x14ac:dyDescent="0.15">
      <c r="A448" s="69" t="s">
        <v>507</v>
      </c>
      <c r="B448" s="23">
        <v>18</v>
      </c>
      <c r="C448" s="6">
        <v>10</v>
      </c>
      <c r="D448" s="2" t="s">
        <v>283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327</v>
      </c>
      <c r="K448" s="24" t="s">
        <v>327</v>
      </c>
      <c r="L448" s="24" t="s">
        <v>327</v>
      </c>
      <c r="M448" s="8"/>
    </row>
    <row r="449" spans="1:23" s="3" customFormat="1" ht="12" customHeight="1" x14ac:dyDescent="0.15">
      <c r="A449" s="69" t="s">
        <v>454</v>
      </c>
      <c r="B449" s="23">
        <v>18</v>
      </c>
      <c r="C449" s="6">
        <v>11</v>
      </c>
      <c r="D449" s="2" t="s">
        <v>283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327</v>
      </c>
      <c r="K449" s="24" t="s">
        <v>327</v>
      </c>
      <c r="L449" s="24" t="s">
        <v>327</v>
      </c>
      <c r="M449" s="8"/>
    </row>
    <row r="450" spans="1:23" s="3" customFormat="1" ht="12" customHeight="1" x14ac:dyDescent="0.15">
      <c r="A450" s="69" t="s">
        <v>508</v>
      </c>
      <c r="B450" s="23">
        <v>18</v>
      </c>
      <c r="C450" s="6">
        <v>12</v>
      </c>
      <c r="D450" s="2" t="s">
        <v>283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327</v>
      </c>
      <c r="K450" s="24" t="s">
        <v>327</v>
      </c>
      <c r="L450" s="24" t="s">
        <v>327</v>
      </c>
      <c r="M450" s="8"/>
    </row>
    <row r="451" spans="1:23" s="3" customFormat="1" ht="12" customHeight="1" thickBot="1" x14ac:dyDescent="0.2">
      <c r="A451" s="74" t="s">
        <v>443</v>
      </c>
      <c r="B451" s="73">
        <v>18</v>
      </c>
      <c r="C451" s="71">
        <v>13</v>
      </c>
      <c r="D451" s="2" t="s">
        <v>283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327</v>
      </c>
      <c r="K451" s="24" t="s">
        <v>327</v>
      </c>
      <c r="L451" s="24" t="s">
        <v>327</v>
      </c>
      <c r="M451" s="8"/>
    </row>
    <row r="452" spans="1:23" s="3" customFormat="1" ht="12" customHeight="1" x14ac:dyDescent="0.15">
      <c r="A452" s="90" t="s">
        <v>94</v>
      </c>
      <c r="B452" s="36"/>
      <c r="C452" s="75"/>
      <c r="D452" s="75"/>
      <c r="E452" s="75"/>
      <c r="F452" s="24" t="s">
        <v>327</v>
      </c>
      <c r="G452" s="24" t="s">
        <v>327</v>
      </c>
      <c r="H452" s="24" t="s">
        <v>327</v>
      </c>
      <c r="I452" s="24" t="s">
        <v>327</v>
      </c>
      <c r="J452" s="24" t="s">
        <v>327</v>
      </c>
      <c r="K452" s="24" t="s">
        <v>327</v>
      </c>
      <c r="L452" s="24" t="s">
        <v>327</v>
      </c>
      <c r="M452" s="8"/>
    </row>
    <row r="453" spans="1:23" s="3" customFormat="1" ht="12" customHeight="1" x14ac:dyDescent="0.15">
      <c r="A453" s="1" t="s">
        <v>819</v>
      </c>
      <c r="B453" s="23">
        <v>18</v>
      </c>
      <c r="C453" s="6">
        <v>14</v>
      </c>
      <c r="D453" s="2" t="s">
        <v>283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327</v>
      </c>
      <c r="K453" s="24" t="s">
        <v>327</v>
      </c>
      <c r="L453" s="24" t="s">
        <v>327</v>
      </c>
      <c r="M453" s="8"/>
    </row>
    <row r="454" spans="1:23" s="3" customFormat="1" ht="12" customHeight="1" x14ac:dyDescent="0.15">
      <c r="A454" s="1" t="s">
        <v>865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509</v>
      </c>
      <c r="B455" s="23">
        <v>18</v>
      </c>
      <c r="C455" s="6">
        <v>16</v>
      </c>
      <c r="D455" s="2" t="s">
        <v>283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327</v>
      </c>
      <c r="K455" s="24" t="s">
        <v>327</v>
      </c>
      <c r="L455" s="24" t="s">
        <v>327</v>
      </c>
      <c r="M455" s="8"/>
    </row>
    <row r="456" spans="1:23" s="3" customFormat="1" ht="12" customHeight="1" x14ac:dyDescent="0.15">
      <c r="A456" s="1" t="s">
        <v>815</v>
      </c>
      <c r="B456" s="23">
        <v>18</v>
      </c>
      <c r="C456" s="6">
        <v>17</v>
      </c>
      <c r="D456" s="2" t="s">
        <v>283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327</v>
      </c>
      <c r="K456" s="24" t="s">
        <v>327</v>
      </c>
      <c r="L456" s="24" t="s">
        <v>327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816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464</v>
      </c>
      <c r="B458" s="23">
        <v>18</v>
      </c>
      <c r="C458" s="6">
        <v>19</v>
      </c>
      <c r="D458" s="2" t="s">
        <v>283</v>
      </c>
      <c r="E458" s="6">
        <v>760</v>
      </c>
      <c r="F458" s="18">
        <v>218439</v>
      </c>
      <c r="G458" s="18">
        <v>219491</v>
      </c>
      <c r="H458" s="18"/>
      <c r="I458" s="56">
        <f t="shared" si="34"/>
        <v>437930</v>
      </c>
      <c r="J458" s="24" t="s">
        <v>327</v>
      </c>
      <c r="K458" s="24" t="s">
        <v>327</v>
      </c>
      <c r="L458" s="24" t="s">
        <v>327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259</v>
      </c>
      <c r="B459" s="81">
        <v>18</v>
      </c>
      <c r="C459" s="51">
        <v>20</v>
      </c>
      <c r="D459" s="48" t="s">
        <v>283</v>
      </c>
      <c r="E459" s="51"/>
      <c r="F459" s="83">
        <f>SUM(F453:F458)</f>
        <v>218439</v>
      </c>
      <c r="G459" s="83">
        <f>SUM(G453:G458)</f>
        <v>219491</v>
      </c>
      <c r="H459" s="83">
        <f>SUM(H453:H458)</f>
        <v>0</v>
      </c>
      <c r="I459" s="83">
        <f>SUM(I453:I458)</f>
        <v>437930</v>
      </c>
      <c r="J459" s="24" t="s">
        <v>327</v>
      </c>
      <c r="K459" s="24" t="s">
        <v>327</v>
      </c>
      <c r="L459" s="24" t="s">
        <v>327</v>
      </c>
    </row>
    <row r="460" spans="1:23" s="52" customFormat="1" ht="12" customHeight="1" thickTop="1" x14ac:dyDescent="0.2">
      <c r="A460" s="91" t="s">
        <v>275</v>
      </c>
      <c r="B460" s="44">
        <v>18</v>
      </c>
      <c r="C460" s="82">
        <v>21</v>
      </c>
      <c r="D460" s="157" t="s">
        <v>283</v>
      </c>
      <c r="E460" s="82"/>
      <c r="F460" s="42">
        <f>F451+F459</f>
        <v>218439</v>
      </c>
      <c r="G460" s="42">
        <f>G451+G459</f>
        <v>219491</v>
      </c>
      <c r="H460" s="42">
        <f>H451+H459</f>
        <v>0</v>
      </c>
      <c r="I460" s="42">
        <f>I451+I459</f>
        <v>437930</v>
      </c>
      <c r="J460" s="24" t="s">
        <v>327</v>
      </c>
      <c r="K460" s="24" t="s">
        <v>327</v>
      </c>
      <c r="L460" s="24" t="s">
        <v>327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95</v>
      </c>
      <c r="B462" s="75"/>
      <c r="C462" s="80"/>
      <c r="D462" s="80"/>
      <c r="E462" s="80"/>
      <c r="F462" s="23" t="s">
        <v>312</v>
      </c>
      <c r="G462" s="23" t="s">
        <v>313</v>
      </c>
      <c r="H462" s="23" t="s">
        <v>314</v>
      </c>
      <c r="I462" s="23" t="s">
        <v>315</v>
      </c>
      <c r="J462" s="23" t="s">
        <v>316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96</v>
      </c>
      <c r="G463" s="84" t="s">
        <v>97</v>
      </c>
      <c r="H463" s="84" t="s">
        <v>98</v>
      </c>
      <c r="I463" s="84" t="s">
        <v>99</v>
      </c>
      <c r="J463" s="84" t="s">
        <v>100</v>
      </c>
      <c r="K463" s="53"/>
      <c r="L463" s="53"/>
    </row>
    <row r="464" spans="1:23" s="52" customFormat="1" ht="12" customHeight="1" x14ac:dyDescent="0.2">
      <c r="A464" s="189" t="s">
        <v>780</v>
      </c>
      <c r="B464" s="105">
        <v>19</v>
      </c>
      <c r="C464" s="111">
        <v>1</v>
      </c>
      <c r="D464" s="2" t="s">
        <v>283</v>
      </c>
      <c r="E464" s="111"/>
      <c r="F464" s="18">
        <v>380323</v>
      </c>
      <c r="G464" s="18">
        <v>0</v>
      </c>
      <c r="H464" s="18">
        <v>0</v>
      </c>
      <c r="I464" s="18">
        <v>0</v>
      </c>
      <c r="J464" s="18">
        <v>428158</v>
      </c>
      <c r="K464" s="24" t="s">
        <v>327</v>
      </c>
      <c r="L464" s="24" t="s">
        <v>327</v>
      </c>
    </row>
    <row r="465" spans="1:12" s="52" customFormat="1" ht="12" customHeight="1" x14ac:dyDescent="0.2">
      <c r="A465" s="24" t="s">
        <v>327</v>
      </c>
      <c r="B465" s="24" t="s">
        <v>327</v>
      </c>
      <c r="C465" s="24" t="s">
        <v>327</v>
      </c>
      <c r="D465" s="24"/>
      <c r="E465" s="24"/>
      <c r="F465" s="24" t="s">
        <v>327</v>
      </c>
      <c r="G465" s="24" t="s">
        <v>327</v>
      </c>
      <c r="H465" s="24" t="s">
        <v>327</v>
      </c>
      <c r="I465" s="24" t="s">
        <v>327</v>
      </c>
      <c r="J465" s="24" t="s">
        <v>327</v>
      </c>
      <c r="K465" s="24" t="s">
        <v>327</v>
      </c>
      <c r="L465" s="24" t="s">
        <v>327</v>
      </c>
    </row>
    <row r="466" spans="1:12" s="52" customFormat="1" ht="12" customHeight="1" x14ac:dyDescent="0.2">
      <c r="A466" s="94" t="s">
        <v>101</v>
      </c>
      <c r="B466" s="24" t="s">
        <v>327</v>
      </c>
      <c r="C466" s="24" t="s">
        <v>327</v>
      </c>
      <c r="D466" s="24"/>
      <c r="E466" s="24"/>
      <c r="F466" s="24" t="s">
        <v>327</v>
      </c>
      <c r="G466" s="24" t="s">
        <v>327</v>
      </c>
      <c r="H466" s="24" t="s">
        <v>327</v>
      </c>
      <c r="I466" s="24" t="s">
        <v>327</v>
      </c>
      <c r="J466" s="24" t="s">
        <v>327</v>
      </c>
      <c r="K466" s="24" t="s">
        <v>327</v>
      </c>
      <c r="L466" s="24" t="s">
        <v>327</v>
      </c>
    </row>
    <row r="467" spans="1:12" s="52" customFormat="1" ht="12" customHeight="1" x14ac:dyDescent="0.2">
      <c r="A467" s="93" t="s">
        <v>510</v>
      </c>
      <c r="B467" s="75">
        <v>19</v>
      </c>
      <c r="C467" s="80">
        <v>2</v>
      </c>
      <c r="D467" s="2" t="s">
        <v>283</v>
      </c>
      <c r="E467" s="80"/>
      <c r="F467" s="18">
        <f>+F192</f>
        <v>15110116</v>
      </c>
      <c r="G467" s="18">
        <f>+G192</f>
        <v>373969</v>
      </c>
      <c r="H467" s="18">
        <f>+H192</f>
        <v>423885</v>
      </c>
      <c r="I467" s="18"/>
      <c r="J467" s="18">
        <f>+G407+H407</f>
        <v>50738</v>
      </c>
      <c r="K467" s="24" t="s">
        <v>327</v>
      </c>
      <c r="L467" s="24" t="s">
        <v>327</v>
      </c>
    </row>
    <row r="468" spans="1:12" s="52" customFormat="1" ht="12" customHeight="1" x14ac:dyDescent="0.2">
      <c r="A468" s="93" t="s">
        <v>641</v>
      </c>
      <c r="B468" s="75">
        <v>19</v>
      </c>
      <c r="C468" s="80">
        <v>3</v>
      </c>
      <c r="D468" s="2" t="s">
        <v>283</v>
      </c>
      <c r="E468" s="80"/>
      <c r="F468" s="18"/>
      <c r="G468" s="18"/>
      <c r="H468" s="18"/>
      <c r="I468" s="18"/>
      <c r="J468" s="18"/>
      <c r="K468" s="24" t="s">
        <v>327</v>
      </c>
      <c r="L468" s="24" t="s">
        <v>327</v>
      </c>
    </row>
    <row r="469" spans="1:12" s="52" customFormat="1" ht="12" customHeight="1" x14ac:dyDescent="0.2">
      <c r="A469" s="92" t="s">
        <v>276</v>
      </c>
      <c r="B469" s="75">
        <v>19</v>
      </c>
      <c r="C469" s="80">
        <v>4</v>
      </c>
      <c r="D469" s="2" t="s">
        <v>283</v>
      </c>
      <c r="E469" s="80"/>
      <c r="F469" s="53">
        <f>SUM(F467:F468)</f>
        <v>15110116</v>
      </c>
      <c r="G469" s="53">
        <f>SUM(G467:G468)</f>
        <v>373969</v>
      </c>
      <c r="H469" s="53">
        <f>SUM(H467:H468)</f>
        <v>423885</v>
      </c>
      <c r="I469" s="53">
        <f>SUM(I467:I468)</f>
        <v>0</v>
      </c>
      <c r="J469" s="53">
        <f>SUM(J467:J468)</f>
        <v>50738</v>
      </c>
      <c r="K469" s="24" t="s">
        <v>327</v>
      </c>
      <c r="L469" s="24" t="s">
        <v>327</v>
      </c>
    </row>
    <row r="470" spans="1:12" s="52" customFormat="1" ht="12" customHeight="1" x14ac:dyDescent="0.2">
      <c r="A470" s="94" t="s">
        <v>102</v>
      </c>
      <c r="B470" s="24" t="s">
        <v>327</v>
      </c>
      <c r="C470" s="24" t="s">
        <v>327</v>
      </c>
      <c r="D470" s="24"/>
      <c r="E470" s="24"/>
      <c r="F470" s="24" t="s">
        <v>327</v>
      </c>
      <c r="G470" s="24" t="s">
        <v>327</v>
      </c>
      <c r="H470" s="24" t="s">
        <v>327</v>
      </c>
      <c r="I470" s="24" t="s">
        <v>327</v>
      </c>
      <c r="J470" s="24" t="s">
        <v>327</v>
      </c>
      <c r="K470" s="24" t="s">
        <v>327</v>
      </c>
      <c r="L470" s="24" t="s">
        <v>327</v>
      </c>
    </row>
    <row r="471" spans="1:12" s="52" customFormat="1" ht="12" customHeight="1" x14ac:dyDescent="0.2">
      <c r="A471" s="93" t="s">
        <v>642</v>
      </c>
      <c r="B471" s="75">
        <v>19</v>
      </c>
      <c r="C471" s="80">
        <v>5</v>
      </c>
      <c r="D471" s="2" t="s">
        <v>283</v>
      </c>
      <c r="E471" s="80"/>
      <c r="F471" s="18">
        <f>+L270</f>
        <v>15085701</v>
      </c>
      <c r="G471" s="18">
        <f>+L361</f>
        <v>373969</v>
      </c>
      <c r="H471" s="18">
        <f>+L351</f>
        <v>423885</v>
      </c>
      <c r="I471" s="18"/>
      <c r="J471" s="18">
        <f>+L433</f>
        <v>40966</v>
      </c>
      <c r="K471" s="24" t="s">
        <v>327</v>
      </c>
      <c r="L471" s="24" t="s">
        <v>327</v>
      </c>
    </row>
    <row r="472" spans="1:12" s="52" customFormat="1" ht="12" customHeight="1" x14ac:dyDescent="0.2">
      <c r="A472" s="93" t="s">
        <v>643</v>
      </c>
      <c r="B472" s="75">
        <v>19</v>
      </c>
      <c r="C472" s="80">
        <v>6</v>
      </c>
      <c r="D472" s="2" t="s">
        <v>283</v>
      </c>
      <c r="E472" s="80"/>
      <c r="F472" s="18"/>
      <c r="G472" s="18"/>
      <c r="H472" s="18"/>
      <c r="I472" s="18"/>
      <c r="J472" s="18"/>
      <c r="K472" s="24" t="s">
        <v>327</v>
      </c>
      <c r="L472" s="24" t="s">
        <v>327</v>
      </c>
    </row>
    <row r="473" spans="1:12" s="52" customFormat="1" ht="12" customHeight="1" x14ac:dyDescent="0.2">
      <c r="A473" s="92" t="s">
        <v>277</v>
      </c>
      <c r="B473" s="75">
        <v>19</v>
      </c>
      <c r="C473" s="80">
        <v>7</v>
      </c>
      <c r="D473" s="2" t="s">
        <v>283</v>
      </c>
      <c r="E473" s="80"/>
      <c r="F473" s="53">
        <f>SUM(F471:F472)</f>
        <v>15085701</v>
      </c>
      <c r="G473" s="53">
        <f>SUM(G471:G472)</f>
        <v>373969</v>
      </c>
      <c r="H473" s="53">
        <f>SUM(H471:H472)</f>
        <v>423885</v>
      </c>
      <c r="I473" s="53">
        <f>SUM(I471:I472)</f>
        <v>0</v>
      </c>
      <c r="J473" s="53">
        <f>SUM(J471:J472)</f>
        <v>40966</v>
      </c>
      <c r="K473" s="24" t="s">
        <v>327</v>
      </c>
      <c r="L473" s="24" t="s">
        <v>327</v>
      </c>
    </row>
    <row r="474" spans="1:12" s="52" customFormat="1" ht="12" customHeight="1" x14ac:dyDescent="0.2">
      <c r="A474" s="24" t="s">
        <v>327</v>
      </c>
      <c r="B474" s="24" t="s">
        <v>327</v>
      </c>
      <c r="C474" s="24" t="s">
        <v>327</v>
      </c>
      <c r="D474" s="24"/>
      <c r="E474" s="24"/>
      <c r="F474" s="24" t="s">
        <v>327</v>
      </c>
      <c r="G474" s="24" t="s">
        <v>327</v>
      </c>
      <c r="H474" s="24" t="s">
        <v>327</v>
      </c>
      <c r="I474" s="24" t="s">
        <v>327</v>
      </c>
      <c r="J474" s="24" t="s">
        <v>327</v>
      </c>
      <c r="K474" s="24" t="s">
        <v>327</v>
      </c>
      <c r="L474" s="24" t="s">
        <v>327</v>
      </c>
    </row>
    <row r="475" spans="1:12" s="52" customFormat="1" ht="12" customHeight="1" x14ac:dyDescent="0.2">
      <c r="A475" s="190" t="s">
        <v>781</v>
      </c>
      <c r="B475" s="75">
        <v>19</v>
      </c>
      <c r="C475" s="115">
        <v>8</v>
      </c>
      <c r="D475" s="2" t="s">
        <v>283</v>
      </c>
      <c r="E475" s="115"/>
      <c r="F475" s="53">
        <f>(F464+F469)- F473</f>
        <v>404738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437930</v>
      </c>
      <c r="K475" s="24" t="s">
        <v>327</v>
      </c>
      <c r="L475" s="24" t="s">
        <v>327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689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717</v>
      </c>
      <c r="B478" s="112"/>
      <c r="C478" s="112"/>
      <c r="D478" s="112"/>
      <c r="E478" s="112"/>
      <c r="F478" s="112"/>
      <c r="G478" s="112"/>
      <c r="H478" s="112"/>
      <c r="I478" s="112" t="s">
        <v>161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420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679</v>
      </c>
      <c r="J480" s="112"/>
      <c r="K480" s="95"/>
      <c r="L480" s="95"/>
    </row>
    <row r="481" spans="1:12" s="52" customFormat="1" ht="12" customHeight="1" x14ac:dyDescent="0.2">
      <c r="A481" s="95" t="s">
        <v>718</v>
      </c>
      <c r="B481" s="112"/>
      <c r="C481" s="112"/>
      <c r="D481" s="112"/>
      <c r="E481" s="112"/>
      <c r="F481" s="112"/>
      <c r="G481" s="112"/>
      <c r="H481" s="112"/>
      <c r="I481" s="112" t="s">
        <v>496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52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497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498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53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830</v>
      </c>
      <c r="B487" s="105"/>
      <c r="C487" s="115"/>
      <c r="D487" s="115"/>
      <c r="E487" s="115"/>
      <c r="F487" s="15" t="s">
        <v>472</v>
      </c>
      <c r="G487" s="15" t="s">
        <v>473</v>
      </c>
      <c r="H487" s="15" t="s">
        <v>474</v>
      </c>
      <c r="I487" s="15" t="s">
        <v>475</v>
      </c>
      <c r="J487" s="15" t="s">
        <v>476</v>
      </c>
      <c r="K487" s="15" t="s">
        <v>477</v>
      </c>
      <c r="L487" s="116"/>
    </row>
    <row r="488" spans="1:12" s="52" customFormat="1" ht="12" customHeight="1" x14ac:dyDescent="0.2">
      <c r="A488" s="96" t="s">
        <v>55</v>
      </c>
      <c r="B488" s="105"/>
      <c r="C488" s="115"/>
      <c r="D488" s="115"/>
      <c r="E488" s="115"/>
      <c r="F488" s="117" t="s">
        <v>56</v>
      </c>
      <c r="G488" s="117" t="s">
        <v>57</v>
      </c>
      <c r="H488" s="117" t="s">
        <v>226</v>
      </c>
      <c r="I488" s="117" t="s">
        <v>227</v>
      </c>
      <c r="J488" s="117" t="s">
        <v>228</v>
      </c>
      <c r="K488" s="117" t="s">
        <v>201</v>
      </c>
      <c r="L488" s="116"/>
    </row>
    <row r="489" spans="1:12" s="52" customFormat="1" ht="12" customHeight="1" x14ac:dyDescent="0.2">
      <c r="A489" s="22" t="s">
        <v>644</v>
      </c>
      <c r="B489" s="75">
        <v>20</v>
      </c>
      <c r="C489" s="115">
        <v>1</v>
      </c>
      <c r="D489" s="2" t="s">
        <v>283</v>
      </c>
      <c r="E489" s="115"/>
      <c r="F489" s="154">
        <v>10</v>
      </c>
      <c r="G489" s="154"/>
      <c r="H489" s="154"/>
      <c r="I489" s="154"/>
      <c r="J489" s="154"/>
      <c r="K489" s="24" t="s">
        <v>327</v>
      </c>
      <c r="L489" s="24" t="s">
        <v>327</v>
      </c>
    </row>
    <row r="490" spans="1:12" s="52" customFormat="1" ht="12" customHeight="1" x14ac:dyDescent="0.2">
      <c r="A490" s="22" t="s">
        <v>515</v>
      </c>
      <c r="B490" s="75">
        <v>20</v>
      </c>
      <c r="C490" s="115">
        <v>2</v>
      </c>
      <c r="D490" s="2" t="s">
        <v>283</v>
      </c>
      <c r="E490" s="115"/>
      <c r="F490" s="155" t="s">
        <v>913</v>
      </c>
      <c r="G490" s="155"/>
      <c r="H490" s="155"/>
      <c r="I490" s="155"/>
      <c r="J490" s="155"/>
      <c r="K490" s="24" t="s">
        <v>327</v>
      </c>
      <c r="L490" s="24" t="s">
        <v>327</v>
      </c>
    </row>
    <row r="491" spans="1:12" s="52" customFormat="1" ht="12" customHeight="1" x14ac:dyDescent="0.2">
      <c r="A491" s="22" t="s">
        <v>516</v>
      </c>
      <c r="B491" s="75">
        <v>20</v>
      </c>
      <c r="C491" s="115">
        <v>3</v>
      </c>
      <c r="D491" s="2" t="s">
        <v>283</v>
      </c>
      <c r="E491" s="115"/>
      <c r="F491" s="155" t="s">
        <v>914</v>
      </c>
      <c r="G491" s="155"/>
      <c r="H491" s="155"/>
      <c r="I491" s="155"/>
      <c r="J491" s="155"/>
      <c r="K491" s="24" t="s">
        <v>327</v>
      </c>
      <c r="L491" s="24" t="s">
        <v>327</v>
      </c>
    </row>
    <row r="492" spans="1:12" s="52" customFormat="1" ht="12" customHeight="1" x14ac:dyDescent="0.2">
      <c r="A492" s="22" t="s">
        <v>517</v>
      </c>
      <c r="B492" s="75">
        <v>20</v>
      </c>
      <c r="C492" s="115">
        <v>4</v>
      </c>
      <c r="D492" s="2" t="s">
        <v>283</v>
      </c>
      <c r="E492" s="115"/>
      <c r="F492" s="18">
        <v>4745000</v>
      </c>
      <c r="G492" s="18"/>
      <c r="H492" s="18"/>
      <c r="I492" s="18"/>
      <c r="J492" s="18"/>
      <c r="K492" s="24" t="s">
        <v>327</v>
      </c>
      <c r="L492" s="24" t="s">
        <v>327</v>
      </c>
    </row>
    <row r="493" spans="1:12" s="52" customFormat="1" ht="12" customHeight="1" x14ac:dyDescent="0.2">
      <c r="A493" s="22" t="s">
        <v>645</v>
      </c>
      <c r="B493" s="75">
        <v>20</v>
      </c>
      <c r="C493" s="115">
        <v>5</v>
      </c>
      <c r="D493" s="2" t="s">
        <v>283</v>
      </c>
      <c r="E493" s="115"/>
      <c r="F493" s="18" t="s">
        <v>821</v>
      </c>
      <c r="G493" s="18"/>
      <c r="H493" s="18"/>
      <c r="I493" s="18"/>
      <c r="J493" s="18"/>
      <c r="K493" s="24" t="s">
        <v>327</v>
      </c>
      <c r="L493" s="24" t="s">
        <v>327</v>
      </c>
    </row>
    <row r="494" spans="1:12" s="52" customFormat="1" ht="12" customHeight="1" x14ac:dyDescent="0.2">
      <c r="A494" s="22" t="s">
        <v>646</v>
      </c>
      <c r="B494" s="75">
        <v>20</v>
      </c>
      <c r="C494" s="115">
        <v>6</v>
      </c>
      <c r="D494" s="2" t="s">
        <v>283</v>
      </c>
      <c r="E494" s="115"/>
      <c r="F494" s="18">
        <v>3300000</v>
      </c>
      <c r="G494" s="18"/>
      <c r="H494" s="18"/>
      <c r="I494" s="18"/>
      <c r="J494" s="18"/>
      <c r="K494" s="53">
        <f>SUM(F494:J494)</f>
        <v>3300000</v>
      </c>
      <c r="L494" s="24" t="s">
        <v>327</v>
      </c>
    </row>
    <row r="495" spans="1:12" s="52" customFormat="1" ht="12" customHeight="1" x14ac:dyDescent="0.2">
      <c r="A495" s="22" t="s">
        <v>518</v>
      </c>
      <c r="B495" s="75">
        <v>20</v>
      </c>
      <c r="C495" s="115">
        <v>7</v>
      </c>
      <c r="D495" s="2" t="s">
        <v>283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327</v>
      </c>
    </row>
    <row r="496" spans="1:12" s="52" customFormat="1" ht="12" customHeight="1" x14ac:dyDescent="0.2">
      <c r="A496" s="22" t="s">
        <v>519</v>
      </c>
      <c r="B496" s="75">
        <v>20</v>
      </c>
      <c r="C496" s="115">
        <v>8</v>
      </c>
      <c r="D496" s="2" t="s">
        <v>283</v>
      </c>
      <c r="E496" s="115"/>
      <c r="F496" s="18">
        <v>415000</v>
      </c>
      <c r="G496" s="18"/>
      <c r="H496" s="18"/>
      <c r="I496" s="18"/>
      <c r="J496" s="18"/>
      <c r="K496" s="53">
        <f t="shared" si="35"/>
        <v>415000</v>
      </c>
      <c r="L496" s="24" t="s">
        <v>327</v>
      </c>
    </row>
    <row r="497" spans="1:12" s="52" customFormat="1" ht="12" customHeight="1" x14ac:dyDescent="0.2">
      <c r="A497" s="201" t="s">
        <v>520</v>
      </c>
      <c r="B497" s="202">
        <v>20</v>
      </c>
      <c r="C497" s="203">
        <v>9</v>
      </c>
      <c r="D497" s="204" t="s">
        <v>283</v>
      </c>
      <c r="E497" s="203"/>
      <c r="F497" s="205">
        <f>+F494-F496</f>
        <v>2885000</v>
      </c>
      <c r="G497" s="205"/>
      <c r="H497" s="205"/>
      <c r="I497" s="205"/>
      <c r="J497" s="205"/>
      <c r="K497" s="206">
        <f t="shared" si="35"/>
        <v>2885000</v>
      </c>
      <c r="L497" s="207" t="s">
        <v>327</v>
      </c>
    </row>
    <row r="498" spans="1:12" s="52" customFormat="1" ht="12" customHeight="1" thickBot="1" x14ac:dyDescent="0.25">
      <c r="A498" s="22" t="s">
        <v>521</v>
      </c>
      <c r="B498" s="75">
        <v>20</v>
      </c>
      <c r="C498" s="115">
        <v>10</v>
      </c>
      <c r="D498" s="2" t="s">
        <v>283</v>
      </c>
      <c r="E498" s="115"/>
      <c r="F498" s="18">
        <f>530988-131025</f>
        <v>399963</v>
      </c>
      <c r="G498" s="18"/>
      <c r="H498" s="18"/>
      <c r="I498" s="18"/>
      <c r="J498" s="18"/>
      <c r="K498" s="53">
        <f t="shared" si="35"/>
        <v>399963</v>
      </c>
      <c r="L498" s="24" t="s">
        <v>327</v>
      </c>
    </row>
    <row r="499" spans="1:12" s="52" customFormat="1" ht="12" customHeight="1" thickTop="1" x14ac:dyDescent="0.2">
      <c r="A499" s="139" t="s">
        <v>522</v>
      </c>
      <c r="B499" s="44">
        <v>20</v>
      </c>
      <c r="C499" s="196">
        <v>11</v>
      </c>
      <c r="D499" s="39" t="s">
        <v>283</v>
      </c>
      <c r="E499" s="196"/>
      <c r="F499" s="42">
        <f>SUM(F497:F498)</f>
        <v>3284963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3284963</v>
      </c>
      <c r="L499" s="45" t="s">
        <v>327</v>
      </c>
    </row>
    <row r="500" spans="1:12" s="52" customFormat="1" ht="12" customHeight="1" x14ac:dyDescent="0.2">
      <c r="A500" s="201" t="s">
        <v>680</v>
      </c>
      <c r="B500" s="202">
        <v>20</v>
      </c>
      <c r="C500" s="203">
        <v>12</v>
      </c>
      <c r="D500" s="204" t="s">
        <v>283</v>
      </c>
      <c r="E500" s="203"/>
      <c r="F500" s="205">
        <v>430000</v>
      </c>
      <c r="G500" s="205"/>
      <c r="H500" s="205"/>
      <c r="I500" s="205"/>
      <c r="J500" s="205"/>
      <c r="K500" s="206">
        <f t="shared" si="35"/>
        <v>430000</v>
      </c>
      <c r="L500" s="207" t="s">
        <v>327</v>
      </c>
    </row>
    <row r="501" spans="1:12" s="52" customFormat="1" ht="12" customHeight="1" thickBot="1" x14ac:dyDescent="0.25">
      <c r="A501" s="22" t="s">
        <v>523</v>
      </c>
      <c r="B501" s="75">
        <v>20</v>
      </c>
      <c r="C501" s="115">
        <v>13</v>
      </c>
      <c r="D501" s="2" t="s">
        <v>283</v>
      </c>
      <c r="E501" s="115"/>
      <c r="F501" s="18">
        <v>114413</v>
      </c>
      <c r="G501" s="18"/>
      <c r="H501" s="18"/>
      <c r="I501" s="18"/>
      <c r="J501" s="18"/>
      <c r="K501" s="53">
        <f t="shared" si="35"/>
        <v>114413</v>
      </c>
      <c r="L501" s="24" t="s">
        <v>327</v>
      </c>
    </row>
    <row r="502" spans="1:12" s="52" customFormat="1" ht="12" customHeight="1" thickTop="1" x14ac:dyDescent="0.2">
      <c r="A502" s="139" t="s">
        <v>654</v>
      </c>
      <c r="B502" s="44">
        <v>20</v>
      </c>
      <c r="C502" s="196">
        <v>14</v>
      </c>
      <c r="D502" s="39" t="s">
        <v>283</v>
      </c>
      <c r="E502" s="196"/>
      <c r="F502" s="42">
        <f>SUM(F500:F501)</f>
        <v>544413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544413</v>
      </c>
      <c r="L502" s="45" t="s">
        <v>327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16</v>
      </c>
      <c r="G505" s="103" t="s">
        <v>17</v>
      </c>
      <c r="H505" s="103" t="s">
        <v>76</v>
      </c>
      <c r="I505" s="106" t="s">
        <v>77</v>
      </c>
      <c r="J505" s="24" t="s">
        <v>327</v>
      </c>
      <c r="K505" s="24" t="s">
        <v>327</v>
      </c>
      <c r="L505" s="24" t="s">
        <v>327</v>
      </c>
    </row>
    <row r="506" spans="1:12" s="52" customFormat="1" ht="12" customHeight="1" x14ac:dyDescent="0.2">
      <c r="A506" s="96" t="s">
        <v>15</v>
      </c>
      <c r="B506" s="105">
        <v>20</v>
      </c>
      <c r="C506" s="115">
        <v>15</v>
      </c>
      <c r="D506" s="2" t="s">
        <v>283</v>
      </c>
      <c r="E506" s="115"/>
      <c r="F506" s="144"/>
      <c r="G506" s="144"/>
      <c r="H506" s="144"/>
      <c r="I506" s="144"/>
      <c r="J506" s="24" t="s">
        <v>327</v>
      </c>
      <c r="K506" s="24" t="s">
        <v>327</v>
      </c>
      <c r="L506" s="24" t="s">
        <v>327</v>
      </c>
    </row>
    <row r="507" spans="1:12" s="52" customFormat="1" ht="12" customHeight="1" x14ac:dyDescent="0.2">
      <c r="A507" s="96" t="s">
        <v>78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831</v>
      </c>
      <c r="B508" s="22"/>
      <c r="C508" s="22"/>
      <c r="D508" s="22"/>
      <c r="E508" s="22"/>
      <c r="F508" s="122" t="s">
        <v>79</v>
      </c>
      <c r="G508" s="122"/>
      <c r="H508" s="123" t="s">
        <v>80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81</v>
      </c>
      <c r="G509" s="113" t="s">
        <v>82</v>
      </c>
      <c r="H509" s="114" t="s">
        <v>81</v>
      </c>
      <c r="I509" s="114" t="s">
        <v>82</v>
      </c>
      <c r="J509" s="53"/>
      <c r="K509" s="53"/>
      <c r="L509" s="53"/>
    </row>
    <row r="510" spans="1:12" s="52" customFormat="1" ht="12" customHeight="1" x14ac:dyDescent="0.2">
      <c r="A510" s="22" t="s">
        <v>655</v>
      </c>
      <c r="B510" s="75">
        <v>20</v>
      </c>
      <c r="C510" s="115">
        <v>16</v>
      </c>
      <c r="D510" s="2" t="s">
        <v>283</v>
      </c>
      <c r="E510" s="115">
        <v>210</v>
      </c>
      <c r="F510" s="18">
        <v>49270</v>
      </c>
      <c r="G510" s="24" t="s">
        <v>327</v>
      </c>
      <c r="H510" s="18">
        <v>49270</v>
      </c>
      <c r="I510" s="24" t="s">
        <v>327</v>
      </c>
      <c r="J510" s="24" t="s">
        <v>327</v>
      </c>
      <c r="K510" s="24" t="s">
        <v>327</v>
      </c>
      <c r="L510" s="24" t="s">
        <v>327</v>
      </c>
    </row>
    <row r="511" spans="1:12" s="52" customFormat="1" ht="12" customHeight="1" x14ac:dyDescent="0.2">
      <c r="A511" s="22" t="s">
        <v>656</v>
      </c>
      <c r="B511" s="75">
        <v>20</v>
      </c>
      <c r="C511" s="115">
        <v>17</v>
      </c>
      <c r="D511" s="2" t="s">
        <v>283</v>
      </c>
      <c r="E511" s="115">
        <v>220</v>
      </c>
      <c r="F511" s="18">
        <f>513829+48300</f>
        <v>562129</v>
      </c>
      <c r="G511" s="24" t="s">
        <v>327</v>
      </c>
      <c r="H511" s="18">
        <f>513829+48300</f>
        <v>562129</v>
      </c>
      <c r="I511" s="24" t="s">
        <v>327</v>
      </c>
      <c r="J511" s="24" t="s">
        <v>327</v>
      </c>
      <c r="K511" s="24" t="s">
        <v>327</v>
      </c>
      <c r="L511" s="24" t="s">
        <v>327</v>
      </c>
    </row>
    <row r="512" spans="1:12" s="52" customFormat="1" ht="12" customHeight="1" x14ac:dyDescent="0.2">
      <c r="A512" s="22" t="s">
        <v>657</v>
      </c>
      <c r="B512" s="75">
        <v>20</v>
      </c>
      <c r="C512" s="115">
        <v>18</v>
      </c>
      <c r="D512" s="2" t="s">
        <v>283</v>
      </c>
      <c r="E512" s="115">
        <v>230</v>
      </c>
      <c r="F512" s="18">
        <v>16768755</v>
      </c>
      <c r="G512" s="24" t="s">
        <v>327</v>
      </c>
      <c r="H512" s="18">
        <v>16768755</v>
      </c>
      <c r="I512" s="24" t="s">
        <v>327</v>
      </c>
      <c r="J512" s="24" t="s">
        <v>327</v>
      </c>
      <c r="K512" s="24" t="s">
        <v>327</v>
      </c>
      <c r="L512" s="24" t="s">
        <v>327</v>
      </c>
    </row>
    <row r="513" spans="1:13" s="52" customFormat="1" ht="12" customHeight="1" x14ac:dyDescent="0.2">
      <c r="A513" s="22" t="s">
        <v>658</v>
      </c>
      <c r="B513" s="75">
        <v>20</v>
      </c>
      <c r="C513" s="115">
        <v>19</v>
      </c>
      <c r="D513" s="2" t="s">
        <v>283</v>
      </c>
      <c r="E513" s="115">
        <v>240</v>
      </c>
      <c r="F513" s="18">
        <v>616879</v>
      </c>
      <c r="G513" s="24" t="s">
        <v>327</v>
      </c>
      <c r="H513" s="18">
        <v>669858</v>
      </c>
      <c r="I513" s="24" t="s">
        <v>327</v>
      </c>
      <c r="J513" s="24" t="s">
        <v>327</v>
      </c>
      <c r="K513" s="24" t="s">
        <v>327</v>
      </c>
      <c r="L513" s="24" t="s">
        <v>327</v>
      </c>
    </row>
    <row r="514" spans="1:13" s="52" customFormat="1" ht="12" customHeight="1" x14ac:dyDescent="0.2">
      <c r="A514" s="22" t="s">
        <v>659</v>
      </c>
      <c r="B514" s="75">
        <v>20</v>
      </c>
      <c r="C514" s="115">
        <v>20</v>
      </c>
      <c r="D514" s="2" t="s">
        <v>283</v>
      </c>
      <c r="E514" s="115">
        <v>250</v>
      </c>
      <c r="F514" s="18"/>
      <c r="G514" s="24" t="s">
        <v>327</v>
      </c>
      <c r="H514" s="18"/>
      <c r="I514" s="24" t="s">
        <v>327</v>
      </c>
      <c r="J514" s="24" t="s">
        <v>327</v>
      </c>
      <c r="K514" s="24" t="s">
        <v>327</v>
      </c>
      <c r="L514" s="24" t="s">
        <v>327</v>
      </c>
    </row>
    <row r="515" spans="1:13" s="52" customFormat="1" ht="12" customHeight="1" thickBot="1" x14ac:dyDescent="0.25">
      <c r="A515" s="22" t="s">
        <v>660</v>
      </c>
      <c r="B515" s="75">
        <v>20</v>
      </c>
      <c r="C515" s="115">
        <v>21</v>
      </c>
      <c r="D515" s="2" t="s">
        <v>283</v>
      </c>
      <c r="E515" s="115">
        <v>710</v>
      </c>
      <c r="F515" s="24" t="s">
        <v>327</v>
      </c>
      <c r="G515" s="18">
        <v>17997033</v>
      </c>
      <c r="H515" s="24" t="s">
        <v>327</v>
      </c>
      <c r="I515" s="18">
        <v>18050012</v>
      </c>
      <c r="J515" s="24" t="s">
        <v>327</v>
      </c>
      <c r="K515" s="24" t="s">
        <v>327</v>
      </c>
      <c r="L515" s="24" t="s">
        <v>327</v>
      </c>
    </row>
    <row r="516" spans="1:13" s="52" customFormat="1" ht="12" customHeight="1" thickTop="1" x14ac:dyDescent="0.2">
      <c r="A516" s="96" t="s">
        <v>278</v>
      </c>
      <c r="B516" s="75">
        <v>20</v>
      </c>
      <c r="C516" s="115">
        <v>22</v>
      </c>
      <c r="D516" s="2" t="s">
        <v>283</v>
      </c>
      <c r="E516" s="115"/>
      <c r="F516" s="42">
        <f>SUM(F510:F515)</f>
        <v>17997033</v>
      </c>
      <c r="G516" s="42">
        <f>SUM(G510:G515)</f>
        <v>17997033</v>
      </c>
      <c r="H516" s="42">
        <f>SUM(H510:H515)</f>
        <v>18050012</v>
      </c>
      <c r="I516" s="42">
        <f>SUM(I510:I515)</f>
        <v>18050012</v>
      </c>
      <c r="J516" s="24" t="s">
        <v>327</v>
      </c>
      <c r="K516" s="24" t="s">
        <v>327</v>
      </c>
      <c r="L516" s="24" t="s">
        <v>327</v>
      </c>
    </row>
    <row r="517" spans="1:13" s="52" customFormat="1" ht="12" customHeight="1" x14ac:dyDescent="0.2">
      <c r="A517" s="96" t="s">
        <v>720</v>
      </c>
      <c r="B517" s="105"/>
      <c r="C517" s="115"/>
      <c r="D517" s="115"/>
      <c r="E517" s="115"/>
      <c r="F517" s="177" t="s">
        <v>594</v>
      </c>
      <c r="G517" s="177" t="s">
        <v>595</v>
      </c>
      <c r="H517" s="177" t="s">
        <v>596</v>
      </c>
      <c r="I517" s="177" t="s">
        <v>597</v>
      </c>
      <c r="J517" s="177" t="s">
        <v>598</v>
      </c>
      <c r="K517" s="177" t="s">
        <v>716</v>
      </c>
      <c r="L517" s="106"/>
    </row>
    <row r="518" spans="1:13" s="52" customFormat="1" ht="12" customHeight="1" x14ac:dyDescent="0.2">
      <c r="A518" s="178" t="s">
        <v>719</v>
      </c>
      <c r="B518" s="105"/>
      <c r="C518" s="115"/>
      <c r="D518" s="115"/>
      <c r="E518" s="115"/>
      <c r="F518" s="103" t="s">
        <v>136</v>
      </c>
      <c r="G518" s="103" t="s">
        <v>137</v>
      </c>
      <c r="H518" s="106" t="s">
        <v>138</v>
      </c>
      <c r="I518" s="106" t="s">
        <v>139</v>
      </c>
      <c r="J518" s="106" t="s">
        <v>140</v>
      </c>
      <c r="K518" s="106" t="s">
        <v>141</v>
      </c>
      <c r="L518" s="106" t="s">
        <v>91</v>
      </c>
    </row>
    <row r="519" spans="1:13" s="52" customFormat="1" ht="12" customHeight="1" x14ac:dyDescent="0.2">
      <c r="A519" s="96" t="s">
        <v>142</v>
      </c>
      <c r="B519" s="105"/>
      <c r="C519" s="115"/>
      <c r="D519" s="115"/>
      <c r="E519" s="115"/>
      <c r="F519" s="24" t="s">
        <v>327</v>
      </c>
      <c r="G519" s="24" t="s">
        <v>327</v>
      </c>
      <c r="H519" s="24" t="s">
        <v>327</v>
      </c>
      <c r="I519" s="24" t="s">
        <v>327</v>
      </c>
      <c r="J519" s="24" t="s">
        <v>327</v>
      </c>
      <c r="K519" s="24" t="s">
        <v>327</v>
      </c>
      <c r="L519" s="24" t="s">
        <v>327</v>
      </c>
    </row>
    <row r="520" spans="1:13" s="52" customFormat="1" ht="12" customHeight="1" x14ac:dyDescent="0.2">
      <c r="A520" s="22" t="s">
        <v>661</v>
      </c>
      <c r="B520" s="105">
        <v>21</v>
      </c>
      <c r="C520" s="115">
        <v>1</v>
      </c>
      <c r="D520" s="2" t="s">
        <v>283</v>
      </c>
      <c r="E520" s="115"/>
      <c r="F520" s="18">
        <f>916732+67217</f>
        <v>983949</v>
      </c>
      <c r="G520" s="18">
        <f>269316+32068</f>
        <v>301384</v>
      </c>
      <c r="H520" s="18">
        <f>82962+16269</f>
        <v>99231</v>
      </c>
      <c r="I520" s="18">
        <f>4696+810+1</f>
        <v>5507</v>
      </c>
      <c r="J520" s="18">
        <v>11612</v>
      </c>
      <c r="K520" s="18">
        <v>131</v>
      </c>
      <c r="L520" s="88">
        <f>SUM(F520:K520)</f>
        <v>1401814</v>
      </c>
    </row>
    <row r="521" spans="1:13" s="52" customFormat="1" ht="12" customHeight="1" x14ac:dyDescent="0.2">
      <c r="A521" s="22" t="s">
        <v>532</v>
      </c>
      <c r="B521" s="105">
        <v>21</v>
      </c>
      <c r="C521" s="115">
        <v>2</v>
      </c>
      <c r="D521" s="2" t="s">
        <v>283</v>
      </c>
      <c r="E521" s="115"/>
      <c r="F521" s="18">
        <f>351840+20838</f>
        <v>372678</v>
      </c>
      <c r="G521" s="18">
        <f>147985+10521</f>
        <v>158506</v>
      </c>
      <c r="H521" s="18">
        <v>12494</v>
      </c>
      <c r="I521" s="18">
        <f>1928+435</f>
        <v>2363</v>
      </c>
      <c r="J521" s="18">
        <f>771+820</f>
        <v>1591</v>
      </c>
      <c r="K521" s="18">
        <v>124</v>
      </c>
      <c r="L521" s="88">
        <f>SUM(F521:K521)</f>
        <v>547756</v>
      </c>
    </row>
    <row r="522" spans="1:13" s="52" customFormat="1" ht="12" customHeight="1" thickBot="1" x14ac:dyDescent="0.25">
      <c r="A522" s="22" t="s">
        <v>533</v>
      </c>
      <c r="B522" s="105">
        <v>21</v>
      </c>
      <c r="C522" s="115">
        <v>3</v>
      </c>
      <c r="D522" s="2" t="s">
        <v>283</v>
      </c>
      <c r="E522" s="115"/>
      <c r="F522" s="18">
        <f>376696+42341</f>
        <v>419037</v>
      </c>
      <c r="G522" s="18">
        <f>124002+21369</f>
        <v>145371</v>
      </c>
      <c r="H522" s="18">
        <v>4265</v>
      </c>
      <c r="I522" s="18">
        <f>5397+890</f>
        <v>6287</v>
      </c>
      <c r="J522" s="18">
        <f>1657+1666</f>
        <v>3323</v>
      </c>
      <c r="K522" s="18">
        <v>90</v>
      </c>
      <c r="L522" s="88">
        <f>SUM(F522:K522)</f>
        <v>578373</v>
      </c>
    </row>
    <row r="523" spans="1:13" s="52" customFormat="1" ht="12" customHeight="1" thickTop="1" x14ac:dyDescent="0.2">
      <c r="A523" s="139" t="s">
        <v>145</v>
      </c>
      <c r="B523" s="107">
        <v>21</v>
      </c>
      <c r="C523" s="196">
        <v>4</v>
      </c>
      <c r="D523" s="197" t="s">
        <v>283</v>
      </c>
      <c r="E523" s="196"/>
      <c r="F523" s="108">
        <f>SUM(F520:F522)</f>
        <v>1775664</v>
      </c>
      <c r="G523" s="108">
        <f t="shared" ref="G523:L523" si="36">SUM(G520:G522)</f>
        <v>605261</v>
      </c>
      <c r="H523" s="108">
        <f t="shared" si="36"/>
        <v>115990</v>
      </c>
      <c r="I523" s="108">
        <f t="shared" si="36"/>
        <v>14157</v>
      </c>
      <c r="J523" s="108">
        <f t="shared" si="36"/>
        <v>16526</v>
      </c>
      <c r="K523" s="108">
        <f t="shared" si="36"/>
        <v>345</v>
      </c>
      <c r="L523" s="89">
        <f t="shared" si="36"/>
        <v>2527943</v>
      </c>
    </row>
    <row r="524" spans="1:13" s="52" customFormat="1" ht="12" customHeight="1" x14ac:dyDescent="0.2">
      <c r="A524" s="96" t="s">
        <v>146</v>
      </c>
      <c r="B524" s="105"/>
      <c r="C524" s="115"/>
      <c r="D524" s="115"/>
      <c r="E524" s="115"/>
      <c r="F524" s="24" t="s">
        <v>327</v>
      </c>
      <c r="G524" s="24" t="s">
        <v>327</v>
      </c>
      <c r="H524" s="24" t="s">
        <v>327</v>
      </c>
      <c r="I524" s="24" t="s">
        <v>327</v>
      </c>
      <c r="J524" s="24" t="s">
        <v>327</v>
      </c>
      <c r="K524" s="24" t="s">
        <v>327</v>
      </c>
      <c r="L524" s="24" t="s">
        <v>327</v>
      </c>
    </row>
    <row r="525" spans="1:13" s="3" customFormat="1" ht="12" customHeight="1" x14ac:dyDescent="0.15">
      <c r="A525" s="22" t="s">
        <v>661</v>
      </c>
      <c r="B525" s="105">
        <v>21</v>
      </c>
      <c r="C525" s="115">
        <v>5</v>
      </c>
      <c r="D525" s="2" t="s">
        <v>283</v>
      </c>
      <c r="E525" s="115"/>
      <c r="F525" s="18">
        <f>127164+35111+148875+49654</f>
        <v>360804</v>
      </c>
      <c r="G525" s="18">
        <f>32226+7395+67777+14238</f>
        <v>121636</v>
      </c>
      <c r="H525" s="18">
        <f>150+775+25163+1675</f>
        <v>27763</v>
      </c>
      <c r="I525" s="18">
        <f>193+470+1273+108</f>
        <v>2044</v>
      </c>
      <c r="J525" s="18">
        <f>150+276+453</f>
        <v>879</v>
      </c>
      <c r="K525" s="18"/>
      <c r="L525" s="88">
        <f>SUM(F525:K525)</f>
        <v>513126</v>
      </c>
      <c r="M525" s="8"/>
    </row>
    <row r="526" spans="1:13" s="3" customFormat="1" ht="12" customHeight="1" x14ac:dyDescent="0.15">
      <c r="A526" s="22" t="s">
        <v>532</v>
      </c>
      <c r="B526" s="105">
        <v>21</v>
      </c>
      <c r="C526" s="115">
        <v>6</v>
      </c>
      <c r="D526" s="2" t="s">
        <v>283</v>
      </c>
      <c r="E526" s="115"/>
      <c r="F526" s="18">
        <f>45957+11726+7085+16582</f>
        <v>81350</v>
      </c>
      <c r="G526" s="18">
        <f>22287+2470+3376+4755</f>
        <v>32888</v>
      </c>
      <c r="H526" s="18">
        <f>50+162+3306+21</f>
        <v>3539</v>
      </c>
      <c r="I526" s="18">
        <f>297+157+14</f>
        <v>468</v>
      </c>
      <c r="J526" s="18">
        <f>50+92+121</f>
        <v>263</v>
      </c>
      <c r="K526" s="18"/>
      <c r="L526" s="88">
        <f>SUM(F526:K526)</f>
        <v>118508</v>
      </c>
      <c r="M526" s="8"/>
    </row>
    <row r="527" spans="1:13" s="3" customFormat="1" ht="12" customHeight="1" thickBot="1" x14ac:dyDescent="0.2">
      <c r="A527" s="22" t="s">
        <v>533</v>
      </c>
      <c r="B527" s="118">
        <v>21</v>
      </c>
      <c r="C527" s="118">
        <v>7</v>
      </c>
      <c r="D527" s="2" t="s">
        <v>283</v>
      </c>
      <c r="E527" s="118"/>
      <c r="F527" s="18">
        <f>163023+24072+10860+34041</f>
        <v>231996</v>
      </c>
      <c r="G527" s="18">
        <f>47133+5070+5112+9761</f>
        <v>67076</v>
      </c>
      <c r="H527" s="18">
        <f>165+103+334+44</f>
        <v>646</v>
      </c>
      <c r="I527" s="18">
        <f>953+322+28</f>
        <v>1303</v>
      </c>
      <c r="J527" s="18">
        <f>103+189+249</f>
        <v>541</v>
      </c>
      <c r="K527" s="18"/>
      <c r="L527" s="88">
        <f>SUM(F527:K527)</f>
        <v>301562</v>
      </c>
      <c r="M527" s="8"/>
    </row>
    <row r="528" spans="1:13" s="3" customFormat="1" ht="12" customHeight="1" thickTop="1" x14ac:dyDescent="0.15">
      <c r="A528" s="139" t="s">
        <v>147</v>
      </c>
      <c r="B528" s="107">
        <v>21</v>
      </c>
      <c r="C528" s="107">
        <v>8</v>
      </c>
      <c r="D528" s="158" t="s">
        <v>283</v>
      </c>
      <c r="E528" s="107"/>
      <c r="F528" s="89">
        <f>SUM(F525:F527)</f>
        <v>674150</v>
      </c>
      <c r="G528" s="89">
        <f t="shared" ref="G528:L528" si="37">SUM(G525:G527)</f>
        <v>221600</v>
      </c>
      <c r="H528" s="89">
        <f t="shared" si="37"/>
        <v>31948</v>
      </c>
      <c r="I528" s="89">
        <f t="shared" si="37"/>
        <v>3815</v>
      </c>
      <c r="J528" s="89">
        <f t="shared" si="37"/>
        <v>1683</v>
      </c>
      <c r="K528" s="89">
        <f t="shared" si="37"/>
        <v>0</v>
      </c>
      <c r="L528" s="89">
        <f t="shared" si="37"/>
        <v>933196</v>
      </c>
      <c r="M528" s="8"/>
    </row>
    <row r="529" spans="1:13" s="3" customFormat="1" ht="12" customHeight="1" x14ac:dyDescent="0.15">
      <c r="A529" s="97" t="s">
        <v>148</v>
      </c>
      <c r="B529" s="105"/>
      <c r="C529" s="105"/>
      <c r="D529" s="105"/>
      <c r="E529" s="105"/>
      <c r="F529" s="24" t="s">
        <v>327</v>
      </c>
      <c r="G529" s="24" t="s">
        <v>327</v>
      </c>
      <c r="H529" s="24" t="s">
        <v>327</v>
      </c>
      <c r="I529" s="24" t="s">
        <v>327</v>
      </c>
      <c r="J529" s="24" t="s">
        <v>327</v>
      </c>
      <c r="K529" s="24" t="s">
        <v>327</v>
      </c>
      <c r="L529" s="24" t="s">
        <v>327</v>
      </c>
      <c r="M529" s="8"/>
    </row>
    <row r="530" spans="1:13" s="3" customFormat="1" ht="12" customHeight="1" x14ac:dyDescent="0.15">
      <c r="A530" s="22" t="s">
        <v>661</v>
      </c>
      <c r="B530" s="105">
        <v>21</v>
      </c>
      <c r="C530" s="105">
        <v>9</v>
      </c>
      <c r="D530" s="2" t="s">
        <v>283</v>
      </c>
      <c r="E530" s="105"/>
      <c r="F530" s="18">
        <v>62607</v>
      </c>
      <c r="G530" s="18">
        <v>24293</v>
      </c>
      <c r="H530" s="18"/>
      <c r="I530" s="18">
        <v>748</v>
      </c>
      <c r="J530" s="18"/>
      <c r="K530" s="18"/>
      <c r="L530" s="88">
        <f>SUM(F530:K530)</f>
        <v>87648</v>
      </c>
      <c r="M530" s="8"/>
    </row>
    <row r="531" spans="1:13" s="3" customFormat="1" ht="12" customHeight="1" x14ac:dyDescent="0.15">
      <c r="A531" s="22" t="s">
        <v>532</v>
      </c>
      <c r="B531" s="105">
        <v>21</v>
      </c>
      <c r="C531" s="105">
        <v>10</v>
      </c>
      <c r="D531" s="2" t="s">
        <v>283</v>
      </c>
      <c r="E531" s="105"/>
      <c r="F531" s="18">
        <v>20908</v>
      </c>
      <c r="G531" s="18">
        <v>8113</v>
      </c>
      <c r="H531" s="18"/>
      <c r="I531" s="18">
        <v>249</v>
      </c>
      <c r="J531" s="18"/>
      <c r="K531" s="18"/>
      <c r="L531" s="88">
        <f>SUM(F531:K531)</f>
        <v>29270</v>
      </c>
      <c r="M531" s="8"/>
    </row>
    <row r="532" spans="1:13" s="3" customFormat="1" ht="12" customHeight="1" thickBot="1" x14ac:dyDescent="0.2">
      <c r="A532" s="22" t="s">
        <v>533</v>
      </c>
      <c r="B532" s="105">
        <v>21</v>
      </c>
      <c r="C532" s="105">
        <v>11</v>
      </c>
      <c r="D532" s="2" t="s">
        <v>283</v>
      </c>
      <c r="E532" s="105"/>
      <c r="F532" s="18">
        <v>42922</v>
      </c>
      <c r="G532" s="18">
        <v>16655</v>
      </c>
      <c r="H532" s="18"/>
      <c r="I532" s="18">
        <v>513</v>
      </c>
      <c r="J532" s="18"/>
      <c r="K532" s="18"/>
      <c r="L532" s="88">
        <f>SUM(F532:K532)</f>
        <v>60090</v>
      </c>
      <c r="M532" s="8"/>
    </row>
    <row r="533" spans="1:13" s="3" customFormat="1" ht="12" customHeight="1" thickTop="1" x14ac:dyDescent="0.15">
      <c r="A533" s="139" t="s">
        <v>44</v>
      </c>
      <c r="B533" s="107">
        <v>21</v>
      </c>
      <c r="C533" s="107">
        <v>12</v>
      </c>
      <c r="D533" s="158" t="s">
        <v>283</v>
      </c>
      <c r="E533" s="107"/>
      <c r="F533" s="89">
        <f>SUM(F530:F532)</f>
        <v>126437</v>
      </c>
      <c r="G533" s="89">
        <f t="shared" ref="G533:L533" si="38">SUM(G530:G532)</f>
        <v>49061</v>
      </c>
      <c r="H533" s="89">
        <f t="shared" si="38"/>
        <v>0</v>
      </c>
      <c r="I533" s="89">
        <f t="shared" si="38"/>
        <v>1510</v>
      </c>
      <c r="J533" s="89">
        <f t="shared" si="38"/>
        <v>0</v>
      </c>
      <c r="K533" s="89">
        <f t="shared" si="38"/>
        <v>0</v>
      </c>
      <c r="L533" s="89">
        <f t="shared" si="38"/>
        <v>177008</v>
      </c>
      <c r="M533" s="8"/>
    </row>
    <row r="534" spans="1:13" s="3" customFormat="1" ht="12" customHeight="1" x14ac:dyDescent="0.15">
      <c r="A534" s="97" t="s">
        <v>45</v>
      </c>
      <c r="B534" s="105"/>
      <c r="C534" s="105"/>
      <c r="D534" s="105"/>
      <c r="E534" s="105"/>
      <c r="F534" s="195" t="s">
        <v>327</v>
      </c>
      <c r="G534" s="195" t="s">
        <v>327</v>
      </c>
      <c r="H534" s="195" t="s">
        <v>327</v>
      </c>
      <c r="I534" s="195" t="s">
        <v>327</v>
      </c>
      <c r="J534" s="195" t="s">
        <v>327</v>
      </c>
      <c r="K534" s="195" t="s">
        <v>327</v>
      </c>
      <c r="L534" s="195" t="s">
        <v>327</v>
      </c>
      <c r="M534" s="8"/>
    </row>
    <row r="535" spans="1:13" s="3" customFormat="1" ht="12" customHeight="1" x14ac:dyDescent="0.15">
      <c r="A535" s="22" t="s">
        <v>661</v>
      </c>
      <c r="B535" s="105">
        <v>21</v>
      </c>
      <c r="C535" s="105">
        <v>13</v>
      </c>
      <c r="D535" s="2" t="s">
        <v>283</v>
      </c>
      <c r="E535" s="105"/>
      <c r="F535" s="18"/>
      <c r="G535" s="18"/>
      <c r="H535" s="18">
        <v>902</v>
      </c>
      <c r="I535" s="18"/>
      <c r="J535" s="18"/>
      <c r="K535" s="18"/>
      <c r="L535" s="88">
        <f>SUM(F535:K535)</f>
        <v>902</v>
      </c>
      <c r="M535" s="8"/>
    </row>
    <row r="536" spans="1:13" s="3" customFormat="1" ht="12" customHeight="1" x14ac:dyDescent="0.15">
      <c r="A536" s="22" t="s">
        <v>532</v>
      </c>
      <c r="B536" s="105">
        <v>21</v>
      </c>
      <c r="C536" s="105">
        <v>14</v>
      </c>
      <c r="D536" s="2" t="s">
        <v>283</v>
      </c>
      <c r="E536" s="105"/>
      <c r="F536" s="18"/>
      <c r="G536" s="18"/>
      <c r="H536" s="18">
        <v>301</v>
      </c>
      <c r="I536" s="18"/>
      <c r="J536" s="18"/>
      <c r="K536" s="18"/>
      <c r="L536" s="88">
        <f>SUM(F536:K536)</f>
        <v>301</v>
      </c>
      <c r="M536" s="8"/>
    </row>
    <row r="537" spans="1:13" s="3" customFormat="1" ht="12" customHeight="1" thickBot="1" x14ac:dyDescent="0.2">
      <c r="A537" s="22" t="s">
        <v>533</v>
      </c>
      <c r="B537" s="105">
        <v>21</v>
      </c>
      <c r="C537" s="105">
        <v>15</v>
      </c>
      <c r="D537" s="2" t="s">
        <v>283</v>
      </c>
      <c r="E537" s="105"/>
      <c r="F537" s="18"/>
      <c r="G537" s="18"/>
      <c r="H537" s="18">
        <v>619</v>
      </c>
      <c r="I537" s="18"/>
      <c r="J537" s="18"/>
      <c r="K537" s="18"/>
      <c r="L537" s="88">
        <f>SUM(F537:K537)</f>
        <v>619</v>
      </c>
      <c r="M537" s="8"/>
    </row>
    <row r="538" spans="1:13" s="3" customFormat="1" ht="12" customHeight="1" thickTop="1" x14ac:dyDescent="0.15">
      <c r="A538" s="139" t="s">
        <v>46</v>
      </c>
      <c r="B538" s="107">
        <v>21</v>
      </c>
      <c r="C538" s="107">
        <v>16</v>
      </c>
      <c r="D538" s="158" t="s">
        <v>283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1822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1822</v>
      </c>
      <c r="M538" s="8"/>
    </row>
    <row r="539" spans="1:13" s="3" customFormat="1" ht="12" customHeight="1" x14ac:dyDescent="0.15">
      <c r="A539" s="97" t="s">
        <v>47</v>
      </c>
      <c r="B539" s="105"/>
      <c r="C539" s="105"/>
      <c r="D539" s="105"/>
      <c r="E539" s="105"/>
      <c r="F539" s="24" t="s">
        <v>327</v>
      </c>
      <c r="G539" s="24" t="s">
        <v>327</v>
      </c>
      <c r="H539" s="24" t="s">
        <v>327</v>
      </c>
      <c r="I539" s="24" t="s">
        <v>327</v>
      </c>
      <c r="J539" s="24" t="s">
        <v>327</v>
      </c>
      <c r="K539" s="24" t="s">
        <v>327</v>
      </c>
      <c r="L539" s="24" t="s">
        <v>327</v>
      </c>
      <c r="M539" s="8"/>
    </row>
    <row r="540" spans="1:13" s="3" customFormat="1" ht="12" customHeight="1" x14ac:dyDescent="0.15">
      <c r="A540" s="22" t="s">
        <v>661</v>
      </c>
      <c r="B540" s="105">
        <v>21</v>
      </c>
      <c r="C540" s="105">
        <v>17</v>
      </c>
      <c r="D540" s="2" t="s">
        <v>283</v>
      </c>
      <c r="E540" s="105"/>
      <c r="F540" s="18">
        <v>10593</v>
      </c>
      <c r="G540" s="18">
        <v>3354</v>
      </c>
      <c r="H540" s="18">
        <v>4473</v>
      </c>
      <c r="I540" s="18">
        <v>3607</v>
      </c>
      <c r="J540" s="18">
        <v>11521</v>
      </c>
      <c r="K540" s="18">
        <v>163</v>
      </c>
      <c r="L540" s="88">
        <f>SUM(F540:K540)</f>
        <v>33711</v>
      </c>
      <c r="M540" s="8"/>
    </row>
    <row r="541" spans="1:13" s="3" customFormat="1" ht="12" customHeight="1" x14ac:dyDescent="0.15">
      <c r="A541" s="22" t="s">
        <v>532</v>
      </c>
      <c r="B541" s="105">
        <v>21</v>
      </c>
      <c r="C541" s="105">
        <v>18</v>
      </c>
      <c r="D541" s="2" t="s">
        <v>283</v>
      </c>
      <c r="E541" s="105"/>
      <c r="F541" s="18">
        <v>3538</v>
      </c>
      <c r="G541" s="18">
        <v>1120</v>
      </c>
      <c r="H541" s="18">
        <v>1494</v>
      </c>
      <c r="I541" s="18">
        <v>1205</v>
      </c>
      <c r="J541" s="18">
        <v>3847</v>
      </c>
      <c r="K541" s="18">
        <v>54</v>
      </c>
      <c r="L541" s="88">
        <f>SUM(F541:K541)</f>
        <v>11258</v>
      </c>
      <c r="M541" s="8"/>
    </row>
    <row r="542" spans="1:13" s="3" customFormat="1" ht="12" customHeight="1" thickBot="1" x14ac:dyDescent="0.2">
      <c r="A542" s="22" t="s">
        <v>533</v>
      </c>
      <c r="B542" s="105">
        <v>21</v>
      </c>
      <c r="C542" s="105">
        <v>19</v>
      </c>
      <c r="D542" s="2" t="s">
        <v>283</v>
      </c>
      <c r="E542" s="105"/>
      <c r="F542" s="18">
        <v>7262</v>
      </c>
      <c r="G542" s="18">
        <v>2300</v>
      </c>
      <c r="H542" s="18">
        <v>3067</v>
      </c>
      <c r="I542" s="18">
        <v>2473</v>
      </c>
      <c r="J542" s="18">
        <v>7898</v>
      </c>
      <c r="K542" s="18">
        <v>111</v>
      </c>
      <c r="L542" s="88">
        <f>SUM(F542:K542)</f>
        <v>23111</v>
      </c>
      <c r="M542" s="8"/>
    </row>
    <row r="543" spans="1:13" s="3" customFormat="1" ht="12" customHeight="1" thickTop="1" thickBot="1" x14ac:dyDescent="0.2">
      <c r="A543" s="130" t="s">
        <v>103</v>
      </c>
      <c r="B543" s="192">
        <v>21</v>
      </c>
      <c r="C543" s="192">
        <v>20</v>
      </c>
      <c r="D543" s="193" t="s">
        <v>283</v>
      </c>
      <c r="E543" s="192"/>
      <c r="F543" s="194">
        <f>SUM(F540:F542)</f>
        <v>21393</v>
      </c>
      <c r="G543" s="194">
        <f t="shared" ref="G543:L543" si="40">SUM(G540:G542)</f>
        <v>6774</v>
      </c>
      <c r="H543" s="194">
        <f t="shared" si="40"/>
        <v>9034</v>
      </c>
      <c r="I543" s="194">
        <f t="shared" si="40"/>
        <v>7285</v>
      </c>
      <c r="J543" s="194">
        <f t="shared" si="40"/>
        <v>23266</v>
      </c>
      <c r="K543" s="194">
        <f t="shared" si="40"/>
        <v>328</v>
      </c>
      <c r="L543" s="194">
        <f t="shared" si="40"/>
        <v>68080</v>
      </c>
      <c r="M543" s="8"/>
    </row>
    <row r="544" spans="1:13" s="3" customFormat="1" ht="12" customHeight="1" thickTop="1" x14ac:dyDescent="0.15">
      <c r="A544" s="98" t="s">
        <v>104</v>
      </c>
      <c r="B544" s="107">
        <v>21</v>
      </c>
      <c r="C544" s="107">
        <v>21</v>
      </c>
      <c r="D544" s="158" t="s">
        <v>283</v>
      </c>
      <c r="E544" s="107"/>
      <c r="F544" s="89">
        <f>F523+F528+F533+F538+F543</f>
        <v>2597644</v>
      </c>
      <c r="G544" s="89">
        <f t="shared" ref="G544:L544" si="41">G523+G528+G533+G538+G543</f>
        <v>882696</v>
      </c>
      <c r="H544" s="89">
        <f t="shared" si="41"/>
        <v>158794</v>
      </c>
      <c r="I544" s="89">
        <f t="shared" si="41"/>
        <v>26767</v>
      </c>
      <c r="J544" s="89">
        <f t="shared" si="41"/>
        <v>41475</v>
      </c>
      <c r="K544" s="89">
        <f t="shared" si="41"/>
        <v>673</v>
      </c>
      <c r="L544" s="89">
        <f t="shared" si="41"/>
        <v>3708049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105</v>
      </c>
      <c r="B546" s="105"/>
      <c r="C546" s="105"/>
      <c r="D546" s="105"/>
      <c r="E546" s="105"/>
      <c r="F546" s="101" t="s">
        <v>106</v>
      </c>
      <c r="G546" s="87" t="s">
        <v>107</v>
      </c>
      <c r="H546" s="87" t="s">
        <v>108</v>
      </c>
      <c r="I546" s="101" t="s">
        <v>109</v>
      </c>
      <c r="J546" s="87" t="s">
        <v>0</v>
      </c>
      <c r="K546" s="101" t="s">
        <v>1</v>
      </c>
      <c r="L546" s="24" t="s">
        <v>327</v>
      </c>
      <c r="M546" s="8"/>
    </row>
    <row r="547" spans="1:13" s="3" customFormat="1" ht="12" customHeight="1" x14ac:dyDescent="0.15">
      <c r="A547" s="100" t="s">
        <v>119</v>
      </c>
      <c r="B547" s="105"/>
      <c r="C547" s="105"/>
      <c r="D547" s="105"/>
      <c r="E547" s="105"/>
      <c r="F547" s="101" t="s">
        <v>2</v>
      </c>
      <c r="G547" s="101" t="s">
        <v>3</v>
      </c>
      <c r="H547" s="101" t="s">
        <v>4</v>
      </c>
      <c r="I547" s="101" t="s">
        <v>5</v>
      </c>
      <c r="J547" s="101" t="s">
        <v>111</v>
      </c>
      <c r="K547" s="87"/>
      <c r="L547" s="24" t="s">
        <v>327</v>
      </c>
      <c r="M547" s="8"/>
    </row>
    <row r="548" spans="1:13" s="3" customFormat="1" ht="12" customHeight="1" x14ac:dyDescent="0.15">
      <c r="A548" s="22" t="s">
        <v>661</v>
      </c>
      <c r="B548" s="75">
        <v>21</v>
      </c>
      <c r="C548" s="75">
        <v>22</v>
      </c>
      <c r="D548" s="2" t="s">
        <v>283</v>
      </c>
      <c r="E548" s="75"/>
      <c r="F548" s="87">
        <f>L520</f>
        <v>1401814</v>
      </c>
      <c r="G548" s="87">
        <f>L525</f>
        <v>513126</v>
      </c>
      <c r="H548" s="87">
        <f>L530</f>
        <v>87648</v>
      </c>
      <c r="I548" s="87">
        <f>L535</f>
        <v>902</v>
      </c>
      <c r="J548" s="87">
        <f>L540</f>
        <v>33711</v>
      </c>
      <c r="K548" s="87">
        <f>SUM(F548:J548)</f>
        <v>2037201</v>
      </c>
      <c r="L548" s="24" t="s">
        <v>327</v>
      </c>
      <c r="M548" s="8"/>
    </row>
    <row r="549" spans="1:13" s="3" customFormat="1" ht="12" customHeight="1" x14ac:dyDescent="0.15">
      <c r="A549" s="22" t="s">
        <v>532</v>
      </c>
      <c r="B549" s="75">
        <v>21</v>
      </c>
      <c r="C549" s="75">
        <v>23</v>
      </c>
      <c r="D549" s="2" t="s">
        <v>283</v>
      </c>
      <c r="E549" s="75"/>
      <c r="F549" s="87">
        <f>L521</f>
        <v>547756</v>
      </c>
      <c r="G549" s="87">
        <f>L526</f>
        <v>118508</v>
      </c>
      <c r="H549" s="87">
        <f>L531</f>
        <v>29270</v>
      </c>
      <c r="I549" s="87">
        <f>L536</f>
        <v>301</v>
      </c>
      <c r="J549" s="87">
        <f>L541</f>
        <v>11258</v>
      </c>
      <c r="K549" s="87">
        <f>SUM(F549:J549)</f>
        <v>707093</v>
      </c>
      <c r="L549" s="24" t="s">
        <v>327</v>
      </c>
      <c r="M549" s="8"/>
    </row>
    <row r="550" spans="1:13" s="3" customFormat="1" ht="12" customHeight="1" thickBot="1" x14ac:dyDescent="0.2">
      <c r="A550" s="22" t="s">
        <v>533</v>
      </c>
      <c r="B550" s="75">
        <v>21</v>
      </c>
      <c r="C550" s="75">
        <v>24</v>
      </c>
      <c r="D550" s="2" t="s">
        <v>283</v>
      </c>
      <c r="E550" s="75"/>
      <c r="F550" s="87">
        <f>L522</f>
        <v>578373</v>
      </c>
      <c r="G550" s="87">
        <f>L527</f>
        <v>301562</v>
      </c>
      <c r="H550" s="87">
        <f>L532</f>
        <v>60090</v>
      </c>
      <c r="I550" s="87">
        <f>L537</f>
        <v>619</v>
      </c>
      <c r="J550" s="87">
        <f>L542</f>
        <v>23111</v>
      </c>
      <c r="K550" s="87">
        <f>SUM(F550:J550)</f>
        <v>963755</v>
      </c>
      <c r="L550" s="24" t="s">
        <v>327</v>
      </c>
      <c r="M550" s="8"/>
    </row>
    <row r="551" spans="1:13" s="3" customFormat="1" ht="12" customHeight="1" thickTop="1" x14ac:dyDescent="0.15">
      <c r="A551" s="172" t="s">
        <v>201</v>
      </c>
      <c r="B551" s="44">
        <v>21</v>
      </c>
      <c r="C551" s="44">
        <v>25</v>
      </c>
      <c r="D551" s="39" t="s">
        <v>283</v>
      </c>
      <c r="E551" s="44"/>
      <c r="F551" s="89">
        <f t="shared" ref="F551:K551" si="42">SUM(F548:F550)</f>
        <v>2527943</v>
      </c>
      <c r="G551" s="89">
        <f t="shared" si="42"/>
        <v>933196</v>
      </c>
      <c r="H551" s="89">
        <f t="shared" si="42"/>
        <v>177008</v>
      </c>
      <c r="I551" s="89">
        <f t="shared" si="42"/>
        <v>1822</v>
      </c>
      <c r="J551" s="89">
        <f t="shared" si="42"/>
        <v>68080</v>
      </c>
      <c r="K551" s="89">
        <f t="shared" si="42"/>
        <v>3708049</v>
      </c>
      <c r="L551" s="24"/>
      <c r="M551" s="8"/>
    </row>
    <row r="552" spans="1:13" s="3" customFormat="1" ht="12" customHeight="1" x14ac:dyDescent="0.15">
      <c r="A552" s="96" t="s">
        <v>607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594</v>
      </c>
      <c r="G553" s="177" t="s">
        <v>595</v>
      </c>
      <c r="H553" s="177" t="s">
        <v>596</v>
      </c>
      <c r="I553" s="177" t="s">
        <v>597</v>
      </c>
      <c r="J553" s="177" t="s">
        <v>598</v>
      </c>
      <c r="K553" s="177" t="s">
        <v>716</v>
      </c>
      <c r="L553" s="106"/>
      <c r="M553" s="8"/>
    </row>
    <row r="554" spans="1:13" s="3" customFormat="1" ht="12" customHeight="1" x14ac:dyDescent="0.15">
      <c r="A554" s="96" t="s">
        <v>83</v>
      </c>
      <c r="B554" s="105"/>
      <c r="C554" s="115"/>
      <c r="D554" s="115"/>
      <c r="E554" s="115"/>
      <c r="F554" s="103" t="s">
        <v>136</v>
      </c>
      <c r="G554" s="103" t="s">
        <v>137</v>
      </c>
      <c r="H554" s="106" t="s">
        <v>138</v>
      </c>
      <c r="I554" s="106" t="s">
        <v>139</v>
      </c>
      <c r="J554" s="106" t="s">
        <v>140</v>
      </c>
      <c r="K554" s="106" t="s">
        <v>141</v>
      </c>
      <c r="L554" s="106" t="s">
        <v>91</v>
      </c>
      <c r="M554" s="8"/>
    </row>
    <row r="555" spans="1:13" s="3" customFormat="1" ht="12" customHeight="1" x14ac:dyDescent="0.15">
      <c r="A555" s="96" t="s">
        <v>112</v>
      </c>
      <c r="B555" s="105"/>
      <c r="C555" s="115"/>
      <c r="D555" s="115"/>
      <c r="E555" s="115"/>
      <c r="F555" s="24" t="s">
        <v>327</v>
      </c>
      <c r="G555" s="24" t="s">
        <v>327</v>
      </c>
      <c r="H555" s="24" t="s">
        <v>327</v>
      </c>
      <c r="I555" s="24" t="s">
        <v>327</v>
      </c>
      <c r="J555" s="24" t="s">
        <v>327</v>
      </c>
      <c r="K555" s="24" t="s">
        <v>327</v>
      </c>
      <c r="L555" s="24" t="s">
        <v>327</v>
      </c>
      <c r="M555" s="8"/>
    </row>
    <row r="556" spans="1:13" s="3" customFormat="1" ht="12" customHeight="1" x14ac:dyDescent="0.15">
      <c r="A556" s="22" t="s">
        <v>661</v>
      </c>
      <c r="B556" s="105">
        <v>22</v>
      </c>
      <c r="C556" s="115">
        <v>1</v>
      </c>
      <c r="D556" s="2" t="s">
        <v>283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532</v>
      </c>
      <c r="B557" s="105">
        <v>22</v>
      </c>
      <c r="C557" s="115">
        <v>2</v>
      </c>
      <c r="D557" s="2" t="s">
        <v>283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533</v>
      </c>
      <c r="B558" s="105">
        <v>22</v>
      </c>
      <c r="C558" s="115">
        <v>3</v>
      </c>
      <c r="D558" s="2" t="s">
        <v>283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145</v>
      </c>
      <c r="B559" s="107">
        <v>22</v>
      </c>
      <c r="C559" s="196">
        <v>4</v>
      </c>
      <c r="D559" s="197" t="s">
        <v>283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60</v>
      </c>
      <c r="B560" s="105"/>
      <c r="C560" s="115"/>
      <c r="D560" s="115"/>
      <c r="E560" s="115"/>
      <c r="F560" s="24" t="s">
        <v>327</v>
      </c>
      <c r="G560" s="24" t="s">
        <v>327</v>
      </c>
      <c r="H560" s="24" t="s">
        <v>327</v>
      </c>
      <c r="I560" s="24" t="s">
        <v>327</v>
      </c>
      <c r="J560" s="24" t="s">
        <v>327</v>
      </c>
      <c r="K560" s="24" t="s">
        <v>327</v>
      </c>
      <c r="L560" s="24" t="s">
        <v>327</v>
      </c>
      <c r="M560" s="8"/>
    </row>
    <row r="561" spans="1:13" s="3" customFormat="1" ht="12" customHeight="1" x14ac:dyDescent="0.15">
      <c r="A561" s="22" t="s">
        <v>661</v>
      </c>
      <c r="B561" s="105">
        <v>22</v>
      </c>
      <c r="C561" s="115">
        <v>5</v>
      </c>
      <c r="D561" s="2" t="s">
        <v>283</v>
      </c>
      <c r="E561" s="115"/>
      <c r="F561" s="18"/>
      <c r="G561" s="18"/>
      <c r="H561" s="18">
        <v>16269</v>
      </c>
      <c r="I561" s="18"/>
      <c r="J561" s="18"/>
      <c r="K561" s="18"/>
      <c r="L561" s="88">
        <f>SUM(F561:K561)</f>
        <v>16269</v>
      </c>
      <c r="M561" s="8"/>
    </row>
    <row r="562" spans="1:13" s="3" customFormat="1" ht="12" customHeight="1" x14ac:dyDescent="0.15">
      <c r="A562" s="22" t="s">
        <v>532</v>
      </c>
      <c r="B562" s="105">
        <v>22</v>
      </c>
      <c r="C562" s="115">
        <v>6</v>
      </c>
      <c r="D562" s="2" t="s">
        <v>283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533</v>
      </c>
      <c r="B563" s="105">
        <v>22</v>
      </c>
      <c r="C563" s="118">
        <v>7</v>
      </c>
      <c r="D563" s="2" t="s">
        <v>283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147</v>
      </c>
      <c r="B564" s="107">
        <v>22</v>
      </c>
      <c r="C564" s="107">
        <v>8</v>
      </c>
      <c r="D564" s="197" t="s">
        <v>283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16269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16269</v>
      </c>
      <c r="M564" s="8"/>
    </row>
    <row r="565" spans="1:13" s="3" customFormat="1" ht="12" customHeight="1" x14ac:dyDescent="0.15">
      <c r="A565" s="97" t="s">
        <v>61</v>
      </c>
      <c r="B565" s="105"/>
      <c r="C565" s="105"/>
      <c r="D565" s="105"/>
      <c r="E565" s="105"/>
      <c r="F565" s="24" t="s">
        <v>327</v>
      </c>
      <c r="G565" s="24" t="s">
        <v>327</v>
      </c>
      <c r="H565" s="24" t="s">
        <v>327</v>
      </c>
      <c r="I565" s="24" t="s">
        <v>327</v>
      </c>
      <c r="J565" s="24" t="s">
        <v>327</v>
      </c>
      <c r="K565" s="24" t="s">
        <v>327</v>
      </c>
      <c r="L565" s="24" t="s">
        <v>327</v>
      </c>
      <c r="M565" s="8"/>
    </row>
    <row r="566" spans="1:13" s="3" customFormat="1" ht="12" customHeight="1" x14ac:dyDescent="0.15">
      <c r="A566" s="22" t="s">
        <v>661</v>
      </c>
      <c r="B566" s="105">
        <v>22</v>
      </c>
      <c r="C566" s="105">
        <v>9</v>
      </c>
      <c r="D566" s="2" t="s">
        <v>283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532</v>
      </c>
      <c r="B567" s="105">
        <v>22</v>
      </c>
      <c r="C567" s="105">
        <v>10</v>
      </c>
      <c r="D567" s="2" t="s">
        <v>283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533</v>
      </c>
      <c r="B568" s="105">
        <v>22</v>
      </c>
      <c r="C568" s="105">
        <v>11</v>
      </c>
      <c r="D568" s="2" t="s">
        <v>283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44</v>
      </c>
      <c r="B569" s="192">
        <v>22</v>
      </c>
      <c r="C569" s="192">
        <v>12</v>
      </c>
      <c r="D569" s="198" t="s">
        <v>283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62</v>
      </c>
      <c r="B570" s="107">
        <v>22</v>
      </c>
      <c r="C570" s="107">
        <v>13</v>
      </c>
      <c r="D570" s="158" t="s">
        <v>283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16269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16269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791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63</v>
      </c>
      <c r="B573" s="75"/>
      <c r="C573" s="75"/>
      <c r="D573" s="75"/>
      <c r="E573" s="75" t="s">
        <v>69</v>
      </c>
      <c r="F573" s="101" t="s">
        <v>64</v>
      </c>
      <c r="G573" s="101" t="s">
        <v>65</v>
      </c>
      <c r="H573" s="101" t="s">
        <v>66</v>
      </c>
      <c r="I573" s="101" t="s">
        <v>67</v>
      </c>
      <c r="J573" s="24" t="s">
        <v>327</v>
      </c>
      <c r="K573" s="24" t="s">
        <v>327</v>
      </c>
      <c r="L573" s="24" t="s">
        <v>327</v>
      </c>
      <c r="M573" s="8"/>
    </row>
    <row r="574" spans="1:13" s="3" customFormat="1" ht="12" customHeight="1" x14ac:dyDescent="0.15">
      <c r="A574" s="99" t="s">
        <v>701</v>
      </c>
      <c r="B574" s="75">
        <v>22</v>
      </c>
      <c r="C574" s="75">
        <v>14</v>
      </c>
      <c r="D574" s="2" t="s">
        <v>283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327</v>
      </c>
      <c r="K574" s="24" t="s">
        <v>327</v>
      </c>
      <c r="L574" s="24" t="s">
        <v>327</v>
      </c>
      <c r="M574" s="8"/>
    </row>
    <row r="575" spans="1:13" s="3" customFormat="1" ht="12" customHeight="1" x14ac:dyDescent="0.15">
      <c r="A575" s="99" t="s">
        <v>702</v>
      </c>
      <c r="B575" s="75">
        <v>22</v>
      </c>
      <c r="C575" s="75">
        <v>15</v>
      </c>
      <c r="D575" s="2" t="s">
        <v>283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327</v>
      </c>
      <c r="K575" s="24" t="s">
        <v>327</v>
      </c>
      <c r="L575" s="24" t="s">
        <v>327</v>
      </c>
      <c r="M575" s="8"/>
    </row>
    <row r="576" spans="1:13" s="3" customFormat="1" ht="12" customHeight="1" x14ac:dyDescent="0.15">
      <c r="A576" s="99" t="s">
        <v>758</v>
      </c>
      <c r="B576" s="75">
        <v>22</v>
      </c>
      <c r="C576" s="75">
        <v>16</v>
      </c>
      <c r="D576" s="2" t="s">
        <v>283</v>
      </c>
      <c r="E576" s="75">
        <v>563</v>
      </c>
      <c r="F576" s="24" t="s">
        <v>327</v>
      </c>
      <c r="G576" s="24" t="s">
        <v>327</v>
      </c>
      <c r="H576" s="18"/>
      <c r="I576" s="87">
        <f t="shared" si="47"/>
        <v>0</v>
      </c>
      <c r="J576" s="24" t="s">
        <v>327</v>
      </c>
      <c r="K576" s="24" t="s">
        <v>327</v>
      </c>
      <c r="L576" s="24" t="s">
        <v>327</v>
      </c>
      <c r="M576" s="8"/>
    </row>
    <row r="577" spans="1:13" s="3" customFormat="1" ht="12" customHeight="1" x14ac:dyDescent="0.15">
      <c r="A577" s="99" t="s">
        <v>708</v>
      </c>
      <c r="B577" s="75">
        <v>22</v>
      </c>
      <c r="C577" s="75">
        <v>17</v>
      </c>
      <c r="D577" s="2" t="s">
        <v>283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327</v>
      </c>
      <c r="K577" s="24" t="s">
        <v>327</v>
      </c>
      <c r="L577" s="24" t="s">
        <v>327</v>
      </c>
      <c r="M577" s="8"/>
    </row>
    <row r="578" spans="1:13" s="3" customFormat="1" ht="12" customHeight="1" x14ac:dyDescent="0.15">
      <c r="A578" s="99" t="s">
        <v>703</v>
      </c>
      <c r="B578" s="75">
        <v>22</v>
      </c>
      <c r="C578" s="75">
        <v>18</v>
      </c>
      <c r="D578" s="2" t="s">
        <v>283</v>
      </c>
      <c r="E578" s="75">
        <v>561</v>
      </c>
      <c r="F578" s="18">
        <v>6311</v>
      </c>
      <c r="G578" s="18"/>
      <c r="H578" s="18"/>
      <c r="I578" s="87">
        <f t="shared" si="47"/>
        <v>6311</v>
      </c>
      <c r="J578" s="24" t="s">
        <v>327</v>
      </c>
      <c r="K578" s="24" t="s">
        <v>327</v>
      </c>
      <c r="L578" s="24" t="s">
        <v>327</v>
      </c>
      <c r="M578" s="8"/>
    </row>
    <row r="579" spans="1:13" s="3" customFormat="1" ht="12" customHeight="1" x14ac:dyDescent="0.15">
      <c r="A579" s="99" t="s">
        <v>574</v>
      </c>
      <c r="B579" s="75">
        <v>22</v>
      </c>
      <c r="C579" s="75">
        <v>19</v>
      </c>
      <c r="D579" s="2" t="s">
        <v>283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327</v>
      </c>
      <c r="K579" s="24" t="s">
        <v>327</v>
      </c>
      <c r="L579" s="24" t="s">
        <v>327</v>
      </c>
      <c r="M579" s="8"/>
    </row>
    <row r="580" spans="1:13" s="3" customFormat="1" ht="12" customHeight="1" x14ac:dyDescent="0.15">
      <c r="A580" s="146" t="s">
        <v>759</v>
      </c>
      <c r="B580" s="75">
        <v>22</v>
      </c>
      <c r="C580" s="75">
        <v>20</v>
      </c>
      <c r="D580" s="2" t="s">
        <v>283</v>
      </c>
      <c r="E580" s="75">
        <v>563</v>
      </c>
      <c r="F580" s="24" t="s">
        <v>327</v>
      </c>
      <c r="G580" s="24" t="s">
        <v>327</v>
      </c>
      <c r="H580" s="18"/>
      <c r="I580" s="87">
        <f t="shared" si="47"/>
        <v>0</v>
      </c>
      <c r="J580" s="24" t="s">
        <v>327</v>
      </c>
      <c r="K580" s="24" t="s">
        <v>327</v>
      </c>
      <c r="L580" s="24" t="s">
        <v>327</v>
      </c>
      <c r="M580" s="8"/>
    </row>
    <row r="581" spans="1:13" s="3" customFormat="1" ht="12" customHeight="1" x14ac:dyDescent="0.15">
      <c r="A581" s="146" t="s">
        <v>575</v>
      </c>
      <c r="B581" s="75">
        <v>22</v>
      </c>
      <c r="C581" s="75">
        <v>21</v>
      </c>
      <c r="D581" s="2" t="s">
        <v>283</v>
      </c>
      <c r="E581" s="75">
        <v>564</v>
      </c>
      <c r="F581" s="18">
        <v>41175</v>
      </c>
      <c r="G581" s="18"/>
      <c r="H581" s="18">
        <v>338</v>
      </c>
      <c r="I581" s="87">
        <f t="shared" si="47"/>
        <v>41513</v>
      </c>
      <c r="J581" s="24" t="s">
        <v>327</v>
      </c>
      <c r="K581" s="24" t="s">
        <v>327</v>
      </c>
      <c r="L581" s="24" t="s">
        <v>327</v>
      </c>
      <c r="M581" s="8"/>
    </row>
    <row r="582" spans="1:13" s="3" customFormat="1" ht="12" customHeight="1" x14ac:dyDescent="0.15">
      <c r="A582" s="146" t="s">
        <v>663</v>
      </c>
      <c r="B582" s="75">
        <v>22</v>
      </c>
      <c r="C582" s="75">
        <v>22</v>
      </c>
      <c r="D582" s="2" t="s">
        <v>283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327</v>
      </c>
      <c r="K582" s="24" t="s">
        <v>327</v>
      </c>
      <c r="L582" s="24" t="s">
        <v>327</v>
      </c>
      <c r="M582" s="8"/>
    </row>
    <row r="583" spans="1:13" s="3" customFormat="1" ht="12" customHeight="1" x14ac:dyDescent="0.15">
      <c r="A583" s="22" t="s">
        <v>581</v>
      </c>
      <c r="B583" s="75">
        <v>22</v>
      </c>
      <c r="C583" s="75">
        <v>23</v>
      </c>
      <c r="D583" s="2" t="s">
        <v>283</v>
      </c>
      <c r="E583" s="75">
        <v>561</v>
      </c>
      <c r="F583" s="18"/>
      <c r="G583" s="18"/>
      <c r="H583" s="18">
        <v>12828</v>
      </c>
      <c r="I583" s="87">
        <f t="shared" si="47"/>
        <v>12828</v>
      </c>
      <c r="J583" s="24" t="s">
        <v>327</v>
      </c>
      <c r="K583" s="24" t="s">
        <v>327</v>
      </c>
      <c r="L583" s="24" t="s">
        <v>327</v>
      </c>
      <c r="M583" s="8"/>
    </row>
    <row r="584" spans="1:13" s="3" customFormat="1" ht="12" customHeight="1" x14ac:dyDescent="0.15">
      <c r="A584" s="22" t="s">
        <v>712</v>
      </c>
      <c r="B584" s="75">
        <v>22</v>
      </c>
      <c r="C584" s="75">
        <v>24</v>
      </c>
      <c r="D584" s="2" t="s">
        <v>283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327</v>
      </c>
      <c r="K584" s="24" t="s">
        <v>327</v>
      </c>
      <c r="L584" s="24" t="s">
        <v>327</v>
      </c>
      <c r="M584" s="8"/>
    </row>
    <row r="585" spans="1:13" s="3" customFormat="1" ht="12" customHeight="1" x14ac:dyDescent="0.15">
      <c r="A585" s="22" t="s">
        <v>760</v>
      </c>
      <c r="B585" s="75">
        <v>22</v>
      </c>
      <c r="C585" s="75">
        <v>25</v>
      </c>
      <c r="D585" s="2" t="s">
        <v>283</v>
      </c>
      <c r="E585" s="75">
        <v>563</v>
      </c>
      <c r="F585" s="24" t="s">
        <v>327</v>
      </c>
      <c r="G585" s="24" t="s">
        <v>327</v>
      </c>
      <c r="H585" s="18"/>
      <c r="I585" s="87">
        <f t="shared" si="47"/>
        <v>0</v>
      </c>
      <c r="J585" s="24" t="s">
        <v>327</v>
      </c>
      <c r="K585" s="24" t="s">
        <v>327</v>
      </c>
      <c r="L585" s="24" t="s">
        <v>327</v>
      </c>
      <c r="M585" s="8"/>
    </row>
    <row r="586" spans="1:13" s="3" customFormat="1" ht="12" customHeight="1" x14ac:dyDescent="0.15">
      <c r="A586" s="22" t="s">
        <v>713</v>
      </c>
      <c r="B586" s="75">
        <v>22</v>
      </c>
      <c r="C586" s="75">
        <v>26</v>
      </c>
      <c r="D586" s="2" t="s">
        <v>283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327</v>
      </c>
      <c r="K586" s="24" t="s">
        <v>327</v>
      </c>
      <c r="L586" s="24" t="s">
        <v>327</v>
      </c>
      <c r="M586" s="8"/>
    </row>
    <row r="587" spans="1:13" s="3" customFormat="1" ht="12" customHeight="1" x14ac:dyDescent="0.15">
      <c r="A587" s="173" t="s">
        <v>761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560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63</v>
      </c>
      <c r="B589" s="105"/>
      <c r="C589" s="105"/>
      <c r="D589" s="105"/>
      <c r="E589" s="105"/>
      <c r="F589" s="103" t="s">
        <v>68</v>
      </c>
      <c r="G589" s="103" t="s">
        <v>69</v>
      </c>
      <c r="H589" s="103" t="s">
        <v>143</v>
      </c>
      <c r="I589" s="103" t="s">
        <v>70</v>
      </c>
      <c r="J589" s="103" t="s">
        <v>144</v>
      </c>
      <c r="K589" s="103" t="s">
        <v>91</v>
      </c>
      <c r="L589" s="103"/>
      <c r="M589" s="8"/>
    </row>
    <row r="590" spans="1:13" s="3" customFormat="1" ht="12" customHeight="1" x14ac:dyDescent="0.15">
      <c r="A590" s="3" t="s">
        <v>662</v>
      </c>
      <c r="B590" s="75">
        <v>23</v>
      </c>
      <c r="C590" s="75">
        <v>1</v>
      </c>
      <c r="D590" s="2" t="s">
        <v>283</v>
      </c>
      <c r="E590" s="75"/>
      <c r="F590" s="102">
        <v>2721</v>
      </c>
      <c r="G590" s="103" t="s">
        <v>71</v>
      </c>
      <c r="H590" s="18">
        <v>221120</v>
      </c>
      <c r="I590" s="18">
        <v>69510</v>
      </c>
      <c r="J590" s="18">
        <v>142872</v>
      </c>
      <c r="K590" s="104">
        <f t="shared" ref="K590:K596" si="48">SUM(H590:J590)</f>
        <v>433502</v>
      </c>
      <c r="L590" s="24" t="s">
        <v>327</v>
      </c>
      <c r="M590" s="8"/>
    </row>
    <row r="591" spans="1:13" s="3" customFormat="1" ht="12" customHeight="1" x14ac:dyDescent="0.15">
      <c r="A591" s="3" t="s">
        <v>775</v>
      </c>
      <c r="B591" s="75">
        <v>23</v>
      </c>
      <c r="C591" s="75">
        <v>2</v>
      </c>
      <c r="D591" s="2" t="s">
        <v>283</v>
      </c>
      <c r="E591" s="75"/>
      <c r="F591" s="102">
        <v>2722</v>
      </c>
      <c r="G591" s="103" t="s">
        <v>71</v>
      </c>
      <c r="H591" s="18">
        <v>22665</v>
      </c>
      <c r="I591" s="18">
        <v>7569</v>
      </c>
      <c r="J591" s="18">
        <v>15538</v>
      </c>
      <c r="K591" s="104">
        <f t="shared" si="48"/>
        <v>45772</v>
      </c>
      <c r="L591" s="24" t="s">
        <v>327</v>
      </c>
      <c r="M591" s="8"/>
    </row>
    <row r="592" spans="1:13" s="3" customFormat="1" ht="12" customHeight="1" x14ac:dyDescent="0.15">
      <c r="A592" s="3" t="s">
        <v>776</v>
      </c>
      <c r="B592" s="75">
        <v>23</v>
      </c>
      <c r="C592" s="75">
        <v>3</v>
      </c>
      <c r="D592" s="2" t="s">
        <v>283</v>
      </c>
      <c r="E592" s="75"/>
      <c r="F592" s="102">
        <v>2723</v>
      </c>
      <c r="G592" s="103" t="s">
        <v>71</v>
      </c>
      <c r="H592" s="18"/>
      <c r="I592" s="18"/>
      <c r="J592" s="18">
        <v>24737</v>
      </c>
      <c r="K592" s="104">
        <f t="shared" si="48"/>
        <v>24737</v>
      </c>
      <c r="L592" s="24" t="s">
        <v>327</v>
      </c>
      <c r="M592" s="8"/>
    </row>
    <row r="593" spans="1:13" s="3" customFormat="1" ht="12" customHeight="1" x14ac:dyDescent="0.15">
      <c r="A593" s="22" t="s">
        <v>777</v>
      </c>
      <c r="B593" s="75">
        <v>23</v>
      </c>
      <c r="C593" s="75">
        <v>4</v>
      </c>
      <c r="D593" s="2" t="s">
        <v>283</v>
      </c>
      <c r="E593" s="75"/>
      <c r="F593" s="102">
        <v>2724</v>
      </c>
      <c r="G593" s="103" t="s">
        <v>71</v>
      </c>
      <c r="H593" s="18"/>
      <c r="I593" s="18">
        <v>8128</v>
      </c>
      <c r="J593" s="18">
        <v>44553</v>
      </c>
      <c r="K593" s="104">
        <f t="shared" si="48"/>
        <v>52681</v>
      </c>
      <c r="L593" s="24" t="s">
        <v>327</v>
      </c>
      <c r="M593" s="8"/>
    </row>
    <row r="594" spans="1:13" s="3" customFormat="1" ht="12" customHeight="1" x14ac:dyDescent="0.15">
      <c r="A594" s="171" t="s">
        <v>795</v>
      </c>
      <c r="B594" s="75">
        <v>23</v>
      </c>
      <c r="C594" s="75">
        <v>5</v>
      </c>
      <c r="D594" s="2" t="s">
        <v>283</v>
      </c>
      <c r="E594" s="75"/>
      <c r="F594" s="102">
        <v>2725</v>
      </c>
      <c r="G594" s="103" t="s">
        <v>71</v>
      </c>
      <c r="H594" s="18">
        <v>2021</v>
      </c>
      <c r="I594" s="18">
        <v>2078</v>
      </c>
      <c r="J594" s="18">
        <v>2842</v>
      </c>
      <c r="K594" s="104">
        <f t="shared" si="48"/>
        <v>6941</v>
      </c>
      <c r="L594" s="24" t="s">
        <v>327</v>
      </c>
      <c r="M594" s="8"/>
    </row>
    <row r="595" spans="1:13" s="3" customFormat="1" ht="12" customHeight="1" x14ac:dyDescent="0.15">
      <c r="A595" s="22" t="s">
        <v>778</v>
      </c>
      <c r="B595" s="75">
        <v>23</v>
      </c>
      <c r="C595" s="75">
        <v>6</v>
      </c>
      <c r="D595" s="2" t="s">
        <v>283</v>
      </c>
      <c r="E595" s="75"/>
      <c r="F595" s="102">
        <v>2726</v>
      </c>
      <c r="G595" s="103" t="s">
        <v>71</v>
      </c>
      <c r="H595" s="18"/>
      <c r="I595" s="18"/>
      <c r="J595" s="18"/>
      <c r="K595" s="104">
        <f t="shared" si="48"/>
        <v>0</v>
      </c>
      <c r="L595" s="24" t="s">
        <v>327</v>
      </c>
      <c r="M595" s="8"/>
    </row>
    <row r="596" spans="1:13" s="3" customFormat="1" ht="12" customHeight="1" thickBot="1" x14ac:dyDescent="0.2">
      <c r="A596" s="3" t="s">
        <v>561</v>
      </c>
      <c r="B596" s="75">
        <v>23</v>
      </c>
      <c r="C596" s="75">
        <v>7</v>
      </c>
      <c r="D596" s="2" t="s">
        <v>283</v>
      </c>
      <c r="E596" s="75"/>
      <c r="F596" s="102">
        <v>2729</v>
      </c>
      <c r="G596" s="103" t="s">
        <v>71</v>
      </c>
      <c r="H596" s="18"/>
      <c r="I596" s="18"/>
      <c r="J596" s="18"/>
      <c r="K596" s="104">
        <f t="shared" si="48"/>
        <v>0</v>
      </c>
      <c r="L596" s="24" t="s">
        <v>327</v>
      </c>
      <c r="M596" s="8"/>
    </row>
    <row r="597" spans="1:13" s="3" customFormat="1" ht="12" customHeight="1" thickTop="1" x14ac:dyDescent="0.15">
      <c r="A597" s="98" t="s">
        <v>201</v>
      </c>
      <c r="B597" s="44">
        <v>23</v>
      </c>
      <c r="C597" s="44">
        <v>8</v>
      </c>
      <c r="D597" s="39" t="s">
        <v>283</v>
      </c>
      <c r="E597" s="44"/>
      <c r="F597" s="148">
        <v>2700</v>
      </c>
      <c r="G597" s="149" t="s">
        <v>71</v>
      </c>
      <c r="H597" s="108">
        <f>SUM(H590:H596)</f>
        <v>245806</v>
      </c>
      <c r="I597" s="108">
        <f>SUM(I590:I596)</f>
        <v>87285</v>
      </c>
      <c r="J597" s="108">
        <f>SUM(J590:J596)</f>
        <v>230542</v>
      </c>
      <c r="K597" s="108">
        <f>SUM(K590:K596)</f>
        <v>563633</v>
      </c>
      <c r="L597" s="24" t="s">
        <v>327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72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63</v>
      </c>
      <c r="B600" s="105"/>
      <c r="C600" s="105"/>
      <c r="D600" s="105"/>
      <c r="E600" s="105"/>
      <c r="F600" s="103" t="s">
        <v>68</v>
      </c>
      <c r="G600" s="103" t="s">
        <v>69</v>
      </c>
      <c r="H600" s="103" t="s">
        <v>143</v>
      </c>
      <c r="I600" s="103" t="s">
        <v>70</v>
      </c>
      <c r="J600" s="103" t="s">
        <v>144</v>
      </c>
      <c r="K600" s="103" t="s">
        <v>91</v>
      </c>
      <c r="L600" s="103"/>
      <c r="M600" s="8"/>
    </row>
    <row r="601" spans="1:13" s="3" customFormat="1" ht="12" customHeight="1" x14ac:dyDescent="0.15">
      <c r="A601" s="22" t="s">
        <v>779</v>
      </c>
      <c r="B601" s="105">
        <v>23</v>
      </c>
      <c r="C601" s="105">
        <v>9</v>
      </c>
      <c r="D601" s="2" t="s">
        <v>283</v>
      </c>
      <c r="E601" s="105"/>
      <c r="F601" s="103" t="s">
        <v>499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327</v>
      </c>
      <c r="M601" s="8"/>
    </row>
    <row r="602" spans="1:13" s="3" customFormat="1" ht="12" customHeight="1" x14ac:dyDescent="0.15">
      <c r="A602" s="22" t="s">
        <v>672</v>
      </c>
      <c r="B602" s="105">
        <v>23</v>
      </c>
      <c r="C602" s="105">
        <v>10</v>
      </c>
      <c r="D602" s="2" t="s">
        <v>283</v>
      </c>
      <c r="E602" s="105"/>
      <c r="F602" s="103" t="s">
        <v>499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327</v>
      </c>
      <c r="M602" s="8"/>
    </row>
    <row r="603" spans="1:13" s="3" customFormat="1" ht="12" customHeight="1" thickBot="1" x14ac:dyDescent="0.2">
      <c r="A603" s="22" t="s">
        <v>673</v>
      </c>
      <c r="B603" s="105">
        <v>23</v>
      </c>
      <c r="C603" s="105">
        <v>11</v>
      </c>
      <c r="D603" s="2" t="s">
        <v>283</v>
      </c>
      <c r="E603" s="105"/>
      <c r="F603" s="103" t="s">
        <v>499</v>
      </c>
      <c r="G603" s="102">
        <v>730</v>
      </c>
      <c r="H603" s="18">
        <v>126509</v>
      </c>
      <c r="I603" s="18">
        <f>27503+4932</f>
        <v>32435</v>
      </c>
      <c r="J603" s="18">
        <f>69990+10195</f>
        <v>80185</v>
      </c>
      <c r="K603" s="104">
        <f>SUM(H603:J603)</f>
        <v>239129</v>
      </c>
      <c r="L603" s="24" t="s">
        <v>327</v>
      </c>
      <c r="M603" s="8"/>
    </row>
    <row r="604" spans="1:13" s="3" customFormat="1" ht="12" customHeight="1" thickTop="1" x14ac:dyDescent="0.15">
      <c r="A604" s="98" t="s">
        <v>201</v>
      </c>
      <c r="B604" s="44">
        <v>23</v>
      </c>
      <c r="C604" s="44">
        <v>12</v>
      </c>
      <c r="D604" s="39" t="s">
        <v>283</v>
      </c>
      <c r="E604" s="44"/>
      <c r="F604" s="149" t="s">
        <v>499</v>
      </c>
      <c r="G604" s="148">
        <v>700</v>
      </c>
      <c r="H604" s="108">
        <f>SUM(H601:H603)</f>
        <v>126509</v>
      </c>
      <c r="I604" s="108">
        <f>SUM(I601:I603)</f>
        <v>32435</v>
      </c>
      <c r="J604" s="108">
        <f>SUM(J601:J603)</f>
        <v>80185</v>
      </c>
      <c r="K604" s="108">
        <f>SUM(K601:K603)</f>
        <v>239129</v>
      </c>
      <c r="L604" s="24" t="s">
        <v>327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724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594</v>
      </c>
      <c r="G608" s="177" t="s">
        <v>595</v>
      </c>
      <c r="H608" s="177" t="s">
        <v>596</v>
      </c>
      <c r="I608" s="177" t="s">
        <v>597</v>
      </c>
      <c r="J608" s="177" t="s">
        <v>598</v>
      </c>
      <c r="K608" s="177" t="s">
        <v>716</v>
      </c>
      <c r="L608" s="88"/>
      <c r="M608" s="8"/>
    </row>
    <row r="609" spans="1:13" s="3" customFormat="1" ht="12" customHeight="1" x14ac:dyDescent="0.15">
      <c r="A609" s="96" t="s">
        <v>63</v>
      </c>
      <c r="B609" s="105"/>
      <c r="C609" s="105"/>
      <c r="D609" s="105"/>
      <c r="E609" s="105"/>
      <c r="F609" s="103" t="s">
        <v>136</v>
      </c>
      <c r="G609" s="103" t="s">
        <v>137</v>
      </c>
      <c r="H609" s="103" t="s">
        <v>138</v>
      </c>
      <c r="I609" s="103" t="s">
        <v>139</v>
      </c>
      <c r="J609" s="103" t="s">
        <v>140</v>
      </c>
      <c r="K609" s="103" t="s">
        <v>141</v>
      </c>
      <c r="L609" s="106" t="s">
        <v>91</v>
      </c>
      <c r="M609" s="8"/>
    </row>
    <row r="610" spans="1:13" s="3" customFormat="1" ht="12" customHeight="1" x14ac:dyDescent="0.15">
      <c r="A610" s="22" t="s">
        <v>661</v>
      </c>
      <c r="B610" s="75">
        <v>23</v>
      </c>
      <c r="C610" s="75">
        <v>13</v>
      </c>
      <c r="D610" s="2" t="s">
        <v>283</v>
      </c>
      <c r="E610" s="75"/>
      <c r="F610" s="18">
        <f>10539+1064+895</f>
        <v>12498</v>
      </c>
      <c r="G610" s="18">
        <f>1690+81+69</f>
        <v>1840</v>
      </c>
      <c r="H610" s="18"/>
      <c r="I610" s="18"/>
      <c r="J610" s="18"/>
      <c r="K610" s="18"/>
      <c r="L610" s="88">
        <f>SUM(F610:K610)</f>
        <v>14338</v>
      </c>
      <c r="M610" s="8"/>
    </row>
    <row r="611" spans="1:13" s="3" customFormat="1" ht="12" customHeight="1" x14ac:dyDescent="0.15">
      <c r="A611" s="22" t="s">
        <v>532</v>
      </c>
      <c r="B611" s="75">
        <v>23</v>
      </c>
      <c r="C611" s="75">
        <v>14</v>
      </c>
      <c r="D611" s="2" t="s">
        <v>283</v>
      </c>
      <c r="E611" s="75"/>
      <c r="F611" s="18">
        <f>3520+355+299</f>
        <v>4174</v>
      </c>
      <c r="G611" s="18">
        <f>564+27+23</f>
        <v>614</v>
      </c>
      <c r="H611" s="18"/>
      <c r="I611" s="18"/>
      <c r="J611" s="18"/>
      <c r="K611" s="18"/>
      <c r="L611" s="88">
        <f>SUM(F611:K611)</f>
        <v>4788</v>
      </c>
      <c r="M611" s="8"/>
    </row>
    <row r="612" spans="1:13" s="3" customFormat="1" ht="12" customHeight="1" thickBot="1" x14ac:dyDescent="0.2">
      <c r="A612" s="22" t="s">
        <v>674</v>
      </c>
      <c r="B612" s="75">
        <v>23</v>
      </c>
      <c r="C612" s="75">
        <v>15</v>
      </c>
      <c r="D612" s="2" t="s">
        <v>283</v>
      </c>
      <c r="E612" s="75"/>
      <c r="F612" s="18">
        <f>7225+730+614</f>
        <v>8569</v>
      </c>
      <c r="G612" s="18">
        <f>1158+56+46</f>
        <v>1260</v>
      </c>
      <c r="H612" s="18"/>
      <c r="I612" s="18"/>
      <c r="J612" s="18"/>
      <c r="K612" s="18"/>
      <c r="L612" s="88">
        <f>SUM(F612:K612)</f>
        <v>9829</v>
      </c>
      <c r="M612" s="8"/>
    </row>
    <row r="613" spans="1:13" s="3" customFormat="1" ht="12" customHeight="1" thickTop="1" x14ac:dyDescent="0.15">
      <c r="A613" s="98" t="s">
        <v>201</v>
      </c>
      <c r="B613" s="107">
        <v>23</v>
      </c>
      <c r="C613" s="107">
        <v>16</v>
      </c>
      <c r="D613" s="39" t="s">
        <v>283</v>
      </c>
      <c r="E613" s="107"/>
      <c r="F613" s="108">
        <f t="shared" ref="F613:L613" si="49">SUM(F610:F612)</f>
        <v>25241</v>
      </c>
      <c r="G613" s="108">
        <f t="shared" si="49"/>
        <v>3714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28955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135</v>
      </c>
      <c r="G615" s="151"/>
      <c r="H615" s="151"/>
      <c r="I615" s="150" t="s">
        <v>135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73</v>
      </c>
      <c r="B616" s="105"/>
      <c r="C616" s="105"/>
      <c r="D616" s="105"/>
      <c r="E616" s="105"/>
      <c r="F616" s="121" t="s">
        <v>588</v>
      </c>
      <c r="G616" s="109">
        <f>SUM(F19)</f>
        <v>627815</v>
      </c>
      <c r="H616" s="109">
        <f>SUM(F51)</f>
        <v>627815</v>
      </c>
      <c r="I616" s="121" t="s">
        <v>886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74</v>
      </c>
      <c r="B617" s="105"/>
      <c r="C617" s="105"/>
      <c r="D617" s="105"/>
      <c r="E617" s="105"/>
      <c r="F617" s="121" t="s">
        <v>589</v>
      </c>
      <c r="G617" s="109">
        <f>SUM(G19)</f>
        <v>9349</v>
      </c>
      <c r="H617" s="109">
        <f>SUM(G51)</f>
        <v>9349</v>
      </c>
      <c r="I617" s="121" t="s">
        <v>887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590</v>
      </c>
      <c r="G618" s="109">
        <f>SUM(H19)</f>
        <v>103293</v>
      </c>
      <c r="H618" s="109">
        <f>SUM(H51)</f>
        <v>103293</v>
      </c>
      <c r="I618" s="121" t="s">
        <v>888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591</v>
      </c>
      <c r="G619" s="109">
        <f>SUM(I19)</f>
        <v>0</v>
      </c>
      <c r="H619" s="109">
        <f>SUM(I51)</f>
        <v>0</v>
      </c>
      <c r="I619" s="121" t="s">
        <v>889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592</v>
      </c>
      <c r="G620" s="109">
        <f>SUM(J19)</f>
        <v>437930</v>
      </c>
      <c r="H620" s="109">
        <f>SUM(J51)</f>
        <v>437930</v>
      </c>
      <c r="I620" s="121" t="s">
        <v>890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881</v>
      </c>
      <c r="G621" s="109">
        <f>F50</f>
        <v>404738</v>
      </c>
      <c r="H621" s="109">
        <f>F475</f>
        <v>404738</v>
      </c>
      <c r="I621" s="121" t="s">
        <v>123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882</v>
      </c>
      <c r="G622" s="109">
        <f>G50</f>
        <v>0</v>
      </c>
      <c r="H622" s="109">
        <f>G475</f>
        <v>0</v>
      </c>
      <c r="I622" s="121" t="s">
        <v>124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883</v>
      </c>
      <c r="G623" s="109">
        <f>H50</f>
        <v>0</v>
      </c>
      <c r="H623" s="109">
        <f>H475</f>
        <v>0</v>
      </c>
      <c r="I623" s="121" t="s">
        <v>125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884</v>
      </c>
      <c r="G624" s="109">
        <f>I50</f>
        <v>0</v>
      </c>
      <c r="H624" s="109">
        <f>I475</f>
        <v>0</v>
      </c>
      <c r="I624" s="121" t="s">
        <v>126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885</v>
      </c>
      <c r="G625" s="109">
        <f>J50</f>
        <v>437930</v>
      </c>
      <c r="H625" s="109">
        <f>J475</f>
        <v>437930</v>
      </c>
      <c r="I625" s="140" t="s">
        <v>127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690</v>
      </c>
      <c r="G626" s="109">
        <f>F192</f>
        <v>15110116</v>
      </c>
      <c r="H626" s="104">
        <f>SUM(F467)</f>
        <v>15110116</v>
      </c>
      <c r="I626" s="140" t="s">
        <v>128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691</v>
      </c>
      <c r="G627" s="109">
        <f>G192</f>
        <v>373969</v>
      </c>
      <c r="H627" s="104">
        <f>SUM(G467)</f>
        <v>373969</v>
      </c>
      <c r="I627" s="140" t="s">
        <v>129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692</v>
      </c>
      <c r="G628" s="109">
        <f>H192</f>
        <v>423885</v>
      </c>
      <c r="H628" s="104">
        <f>SUM(H467)</f>
        <v>423885</v>
      </c>
      <c r="I628" s="140" t="s">
        <v>130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693</v>
      </c>
      <c r="G629" s="109">
        <f>I192</f>
        <v>0</v>
      </c>
      <c r="H629" s="104">
        <f>SUM(I467)</f>
        <v>0</v>
      </c>
      <c r="I629" s="140" t="s">
        <v>131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694</v>
      </c>
      <c r="G630" s="109">
        <f>J192</f>
        <v>50738</v>
      </c>
      <c r="H630" s="104">
        <f>SUM(J467)</f>
        <v>50738</v>
      </c>
      <c r="I630" s="140" t="s">
        <v>18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415</v>
      </c>
      <c r="G631" s="109">
        <f>SUM(L270)</f>
        <v>15085701</v>
      </c>
      <c r="H631" s="104">
        <f>SUM(F471)</f>
        <v>15085701</v>
      </c>
      <c r="I631" s="140" t="s">
        <v>19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416</v>
      </c>
      <c r="G632" s="109">
        <f>SUM(L351)</f>
        <v>423885</v>
      </c>
      <c r="H632" s="104">
        <f>SUM(H471)</f>
        <v>423885</v>
      </c>
      <c r="I632" s="140" t="s">
        <v>20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116</v>
      </c>
      <c r="G633" s="109">
        <f>I361</f>
        <v>145582</v>
      </c>
      <c r="H633" s="104">
        <f>I368</f>
        <v>145582</v>
      </c>
      <c r="I633" s="143" t="s">
        <v>117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21</v>
      </c>
      <c r="G634" s="109">
        <f>SUM(L361)</f>
        <v>373969</v>
      </c>
      <c r="H634" s="104">
        <f>SUM(G471)</f>
        <v>373969</v>
      </c>
      <c r="I634" s="140" t="s">
        <v>22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23</v>
      </c>
      <c r="G635" s="109">
        <f>SUM(L381)</f>
        <v>0</v>
      </c>
      <c r="H635" s="104">
        <f>SUM(I471)</f>
        <v>0</v>
      </c>
      <c r="I635" s="140" t="s">
        <v>24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500</v>
      </c>
      <c r="G636" s="151">
        <f>SUM(L407)</f>
        <v>50738</v>
      </c>
      <c r="H636" s="164">
        <f>SUM(J467)</f>
        <v>50738</v>
      </c>
      <c r="I636" s="165" t="s">
        <v>18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501</v>
      </c>
      <c r="G637" s="151">
        <f>SUM(L433)</f>
        <v>40966</v>
      </c>
      <c r="H637" s="164">
        <f>SUM(J471)</f>
        <v>40966</v>
      </c>
      <c r="I637" s="165" t="s">
        <v>25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133</v>
      </c>
      <c r="G638" s="109">
        <f>SUM(F445)</f>
        <v>218439</v>
      </c>
      <c r="H638" s="104">
        <f>SUM(F460)</f>
        <v>218439</v>
      </c>
      <c r="I638" s="140" t="s">
        <v>901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298</v>
      </c>
      <c r="G639" s="109">
        <f>SUM(G445)</f>
        <v>219491</v>
      </c>
      <c r="H639" s="104">
        <f>SUM(G460)</f>
        <v>219491</v>
      </c>
      <c r="I639" s="140" t="s">
        <v>902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299</v>
      </c>
      <c r="G640" s="109">
        <f>SUM(H445)</f>
        <v>0</v>
      </c>
      <c r="H640" s="104">
        <f>SUM(H460)</f>
        <v>0</v>
      </c>
      <c r="I640" s="140" t="s">
        <v>903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300</v>
      </c>
      <c r="G641" s="109">
        <f>SUM(I445)</f>
        <v>437930</v>
      </c>
      <c r="H641" s="104">
        <f>SUM(I460)</f>
        <v>437930</v>
      </c>
      <c r="I641" s="140" t="s">
        <v>904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118</v>
      </c>
      <c r="G642" s="109">
        <f>J56</f>
        <v>0</v>
      </c>
      <c r="H642" s="104">
        <f>F407</f>
        <v>0</v>
      </c>
      <c r="I642" s="140" t="s">
        <v>502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695</v>
      </c>
      <c r="G643" s="109">
        <f>J95</f>
        <v>738</v>
      </c>
      <c r="H643" s="104">
        <f>H407</f>
        <v>738</v>
      </c>
      <c r="I643" s="140" t="s">
        <v>503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696</v>
      </c>
      <c r="G644" s="109">
        <f>J182</f>
        <v>50000</v>
      </c>
      <c r="H644" s="104">
        <f>G407</f>
        <v>50000</v>
      </c>
      <c r="I644" s="140" t="s">
        <v>504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694</v>
      </c>
      <c r="G645" s="109">
        <f>J192</f>
        <v>50738</v>
      </c>
      <c r="H645" s="104">
        <f>L407</f>
        <v>50738</v>
      </c>
      <c r="I645" s="140" t="s">
        <v>500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26</v>
      </c>
      <c r="G646" s="109">
        <f>K597</f>
        <v>563633</v>
      </c>
      <c r="H646" s="104">
        <f>L207+L225+L243</f>
        <v>563633</v>
      </c>
      <c r="I646" s="140" t="s">
        <v>417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134</v>
      </c>
      <c r="G647" s="109">
        <f>K604</f>
        <v>239129</v>
      </c>
      <c r="H647" s="104">
        <f>(J256+J337)-(J254+J335)</f>
        <v>239129</v>
      </c>
      <c r="I647" s="140" t="s">
        <v>721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408</v>
      </c>
      <c r="G648" s="109">
        <f>L207</f>
        <v>245806</v>
      </c>
      <c r="H648" s="104">
        <f>H597</f>
        <v>245806</v>
      </c>
      <c r="I648" s="140" t="s">
        <v>409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413</v>
      </c>
      <c r="G649" s="109">
        <f>L225</f>
        <v>87285</v>
      </c>
      <c r="H649" s="104">
        <f>I597</f>
        <v>87285</v>
      </c>
      <c r="I649" s="140" t="s">
        <v>410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414</v>
      </c>
      <c r="G650" s="109">
        <f>L243</f>
        <v>230542</v>
      </c>
      <c r="H650" s="104">
        <f>J597</f>
        <v>230542</v>
      </c>
      <c r="I650" s="140" t="s">
        <v>411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697</v>
      </c>
      <c r="G651" s="109">
        <f>G178</f>
        <v>83253</v>
      </c>
      <c r="H651" s="104">
        <f>K262+K344</f>
        <v>83253</v>
      </c>
      <c r="I651" s="140" t="s">
        <v>555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698</v>
      </c>
      <c r="G652" s="109">
        <f>H178</f>
        <v>1887</v>
      </c>
      <c r="H652" s="104">
        <f>K263</f>
        <v>1887</v>
      </c>
      <c r="I652" s="140" t="s">
        <v>556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699</v>
      </c>
      <c r="G653" s="109">
        <f>I178</f>
        <v>0</v>
      </c>
      <c r="H653" s="104">
        <f>K264+K345</f>
        <v>0</v>
      </c>
      <c r="I653" s="140" t="s">
        <v>418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700</v>
      </c>
      <c r="G654" s="109">
        <f>J178+J180</f>
        <v>50000</v>
      </c>
      <c r="H654" s="104">
        <f>K265+K346</f>
        <v>50000</v>
      </c>
      <c r="I654" s="140" t="s">
        <v>419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301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302</v>
      </c>
      <c r="F657" s="25" t="s">
        <v>303</v>
      </c>
      <c r="G657" s="25" t="s">
        <v>304</v>
      </c>
      <c r="H657" s="25" t="s">
        <v>387</v>
      </c>
      <c r="I657" s="25" t="s">
        <v>201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325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305</v>
      </c>
      <c r="F659" s="19">
        <f>(L210+L289+L357)</f>
        <v>7331773</v>
      </c>
      <c r="G659" s="19">
        <f>(L228+L308+L358)</f>
        <v>2719098</v>
      </c>
      <c r="H659" s="19">
        <f>(L246+L327+L359)</f>
        <v>5146119</v>
      </c>
      <c r="I659" s="19">
        <f>SUM(F659:H659)</f>
        <v>15196990</v>
      </c>
      <c r="J659" s="13"/>
      <c r="K659" s="13"/>
      <c r="L659" s="13"/>
      <c r="M659" s="9"/>
    </row>
    <row r="660" spans="1:13" s="3" customFormat="1" ht="12" customHeight="1" x14ac:dyDescent="0.2">
      <c r="A660" s="1" t="s">
        <v>306</v>
      </c>
      <c r="F660" s="19">
        <f>(L357/IF(SUM(L357:L359)=0,1,SUM(L357:L359))*(SUM(G96:G109)))</f>
        <v>108051.31494589124</v>
      </c>
      <c r="G660" s="19">
        <f>(L358/IF(SUM(L357:L359)=0,1,SUM(L357:L359))*(SUM(G96:G109)))</f>
        <v>37446.964192219144</v>
      </c>
      <c r="H660" s="19">
        <f>(L359/IF(SUM(L357:L359)=0,1,SUM(L357:L359))*(SUM(G96:G109)))</f>
        <v>73560.720861889611</v>
      </c>
      <c r="I660" s="19">
        <f>SUM(F660:H660)</f>
        <v>219059</v>
      </c>
      <c r="J660"/>
      <c r="K660" s="13"/>
      <c r="L660" s="13"/>
      <c r="M660" s="9"/>
    </row>
    <row r="661" spans="1:13" s="3" customFormat="1" ht="12" customHeight="1" x14ac:dyDescent="0.2">
      <c r="A661" s="1" t="s">
        <v>307</v>
      </c>
      <c r="F661" s="19">
        <f>(L207+L286)-(J207+J286)</f>
        <v>243402</v>
      </c>
      <c r="G661" s="19">
        <f>(L225+L305)-(J225+J305)</f>
        <v>86205</v>
      </c>
      <c r="H661" s="19">
        <f>(L243+L324)-(J243+J324)</f>
        <v>231504</v>
      </c>
      <c r="I661" s="19">
        <f>SUM(F661:H661)</f>
        <v>561111</v>
      </c>
      <c r="J661"/>
      <c r="K661" s="13"/>
      <c r="L661" s="13"/>
      <c r="M661" s="8"/>
    </row>
    <row r="662" spans="1:13" s="3" customFormat="1" ht="12" customHeight="1" x14ac:dyDescent="0.15">
      <c r="A662" s="199" t="s">
        <v>308</v>
      </c>
      <c r="B662" s="169"/>
      <c r="C662" s="169"/>
      <c r="D662" s="169"/>
      <c r="E662" s="169"/>
      <c r="F662" s="200">
        <f>SUM(F574:F586)+SUM(H601:H603)+SUM(L610)</f>
        <v>188333</v>
      </c>
      <c r="G662" s="200">
        <f>SUM(G574:G586)+SUM(I601:I603)+L611</f>
        <v>37223</v>
      </c>
      <c r="H662" s="200">
        <f>SUM(H574:H586)+SUM(J601:J603)+L612</f>
        <v>103180</v>
      </c>
      <c r="I662" s="19">
        <f>SUM(F662:H662)</f>
        <v>328736</v>
      </c>
      <c r="J662" s="13"/>
      <c r="K662" s="13"/>
      <c r="L662" s="13"/>
      <c r="M662" s="9"/>
    </row>
    <row r="663" spans="1:13" s="3" customFormat="1" ht="12" customHeight="1" x14ac:dyDescent="0.15">
      <c r="A663" s="1" t="s">
        <v>309</v>
      </c>
      <c r="F663" s="19">
        <f>F659-SUM(F660:F662)</f>
        <v>6791986.6850541085</v>
      </c>
      <c r="G663" s="19">
        <f>G659-SUM(G660:G662)</f>
        <v>2558223.0358077809</v>
      </c>
      <c r="H663" s="19">
        <f>H659-SUM(H660:H662)</f>
        <v>4737874.2791381106</v>
      </c>
      <c r="I663" s="19">
        <f>I659-SUM(I660:I662)</f>
        <v>14088084</v>
      </c>
      <c r="J663" s="13"/>
      <c r="K663" s="13"/>
      <c r="L663" s="13"/>
      <c r="M663" s="9"/>
    </row>
    <row r="664" spans="1:13" s="3" customFormat="1" ht="12" customHeight="1" x14ac:dyDescent="0.2">
      <c r="A664" s="1" t="s">
        <v>310</v>
      </c>
      <c r="F664" s="248">
        <v>446.97</v>
      </c>
      <c r="G664" s="249">
        <v>150.27000000000001</v>
      </c>
      <c r="H664" s="249">
        <v>308.49</v>
      </c>
      <c r="I664" s="19">
        <f>SUM(F664:H664)</f>
        <v>905.73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149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150</v>
      </c>
      <c r="F666" s="19">
        <f>ROUND(F663/F664,2)</f>
        <v>15195.62</v>
      </c>
      <c r="G666" s="19">
        <f>ROUND(G663/G664,2)</f>
        <v>17024.18</v>
      </c>
      <c r="H666" s="19">
        <f>ROUND(H663/H664,2)</f>
        <v>15358.28</v>
      </c>
      <c r="I666" s="19">
        <f>ROUND(I663/I664,2)</f>
        <v>15554.4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151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152</v>
      </c>
      <c r="F669" s="18"/>
      <c r="G669" s="18"/>
      <c r="H669" s="18">
        <v>-4</v>
      </c>
      <c r="I669" s="19">
        <f>SUM(F669:H669)</f>
        <v>-4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153</v>
      </c>
      <c r="B671" s="2" t="s">
        <v>154</v>
      </c>
      <c r="C671" s="2" t="s">
        <v>162</v>
      </c>
      <c r="D671" s="2"/>
      <c r="E671" s="2"/>
      <c r="F671" s="19">
        <f>ROUND((F663+F668)/(F664+F669),2)</f>
        <v>15195.62</v>
      </c>
      <c r="G671" s="19">
        <f>ROUND((G663+G668)/(G664+G669),2)</f>
        <v>17024.18</v>
      </c>
      <c r="H671" s="19">
        <f>ROUND((H663+H668)/(H664+H669),2)</f>
        <v>15560.03</v>
      </c>
      <c r="I671" s="19">
        <f>ROUND((I663+I668)/(I664+I669),2)</f>
        <v>15623.4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8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workbookViewId="0">
      <selection activeCell="B20" sqref="B2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799</v>
      </c>
      <c r="B1" s="233" t="str">
        <f>'DOE25'!A2</f>
        <v>HOPKINTON SCHOOL DISTRICT</v>
      </c>
      <c r="C1" s="239" t="s">
        <v>763</v>
      </c>
    </row>
    <row r="2" spans="1:3" x14ac:dyDescent="0.2">
      <c r="A2" s="234"/>
      <c r="B2" s="233"/>
    </row>
    <row r="3" spans="1:3" x14ac:dyDescent="0.2">
      <c r="A3" s="274" t="s">
        <v>798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797</v>
      </c>
      <c r="C6" s="273"/>
    </row>
    <row r="7" spans="1:3" x14ac:dyDescent="0.2">
      <c r="A7" s="240" t="s">
        <v>800</v>
      </c>
      <c r="B7" s="271" t="s">
        <v>897</v>
      </c>
      <c r="C7" s="272"/>
    </row>
    <row r="8" spans="1:3" x14ac:dyDescent="0.2">
      <c r="B8" s="229" t="s">
        <v>136</v>
      </c>
      <c r="C8" s="229" t="s">
        <v>792</v>
      </c>
    </row>
    <row r="9" spans="1:3" x14ac:dyDescent="0.2">
      <c r="A9" s="33" t="s">
        <v>793</v>
      </c>
      <c r="B9" s="230">
        <f>'DOE25'!F196+'DOE25'!F214+'DOE25'!F232+'DOE25'!F275+'DOE25'!F294+'DOE25'!F313</f>
        <v>4536414</v>
      </c>
      <c r="C9" s="230">
        <f>'DOE25'!G196+'DOE25'!G214+'DOE25'!G232+'DOE25'!G275+'DOE25'!G294+'DOE25'!G313</f>
        <v>1899511</v>
      </c>
    </row>
    <row r="10" spans="1:3" x14ac:dyDescent="0.2">
      <c r="A10" t="s">
        <v>894</v>
      </c>
      <c r="B10" s="241">
        <f>4536414-120221</f>
        <v>4416193</v>
      </c>
      <c r="C10" s="241">
        <f>1899511-290466</f>
        <v>1609045</v>
      </c>
    </row>
    <row r="11" spans="1:3" x14ac:dyDescent="0.2">
      <c r="A11" t="s">
        <v>895</v>
      </c>
      <c r="B11" s="241">
        <v>8646</v>
      </c>
      <c r="C11" s="241">
        <f>37833+2886+15+99+238662+98+80</f>
        <v>279673</v>
      </c>
    </row>
    <row r="12" spans="1:3" x14ac:dyDescent="0.2">
      <c r="A12" t="s">
        <v>896</v>
      </c>
      <c r="B12" s="241">
        <f>4654+37314+24385+766+18746-30-24-30-216-18-570-300-24-60-114-120-60-24-50-78-96+3098+41536-240-1200-660-36-870-840-360-240-180-354-372-120-150-30-690-60-1716-180-30-210-786-270-210-210-486-60-60-60-600-2303.07-60-101-60-582-570-480-240-60-60-1314+0.07</f>
        <v>111575</v>
      </c>
      <c r="C12" s="241">
        <f>356+2844-9+14+49+130+1861+44+49+110+59+87+3+1431-2-1-2-13-1-35-18-2-4-7-7-4-2-3-5-6-1-1-1-1-1-1-1-1-1-1+4+39+54+225+350+13+2+3142-250+28+29+2+42+2+6+59+140</f>
        <v>10793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4536414</v>
      </c>
      <c r="C13" s="232">
        <f>SUM(C10:C12)</f>
        <v>1899511</v>
      </c>
    </row>
    <row r="14" spans="1:3" x14ac:dyDescent="0.2">
      <c r="B14" s="231"/>
      <c r="C14" s="231"/>
    </row>
    <row r="15" spans="1:3" x14ac:dyDescent="0.2">
      <c r="B15" s="273" t="s">
        <v>797</v>
      </c>
      <c r="C15" s="273"/>
    </row>
    <row r="16" spans="1:3" x14ac:dyDescent="0.2">
      <c r="A16" s="240" t="s">
        <v>860</v>
      </c>
      <c r="B16" s="271" t="s">
        <v>841</v>
      </c>
      <c r="C16" s="272"/>
    </row>
    <row r="17" spans="1:3" x14ac:dyDescent="0.2">
      <c r="B17" s="229" t="s">
        <v>136</v>
      </c>
      <c r="C17" s="229" t="s">
        <v>792</v>
      </c>
    </row>
    <row r="18" spans="1:3" x14ac:dyDescent="0.2">
      <c r="A18" s="33" t="s">
        <v>793</v>
      </c>
      <c r="B18" s="230">
        <f>'DOE25'!F197+'DOE25'!F215+'DOE25'!F233+'DOE25'!F276+'DOE25'!F295+'DOE25'!F314</f>
        <v>1775663</v>
      </c>
      <c r="C18" s="230">
        <f>'DOE25'!G197+'DOE25'!G215+'DOE25'!G233+'DOE25'!G276+'DOE25'!G295+'DOE25'!G314</f>
        <v>605261</v>
      </c>
    </row>
    <row r="19" spans="1:3" x14ac:dyDescent="0.2">
      <c r="A19" t="s">
        <v>894</v>
      </c>
      <c r="B19" s="241">
        <v>986865</v>
      </c>
      <c r="C19" s="241">
        <v>411891</v>
      </c>
    </row>
    <row r="20" spans="1:3" x14ac:dyDescent="0.2">
      <c r="A20" t="s">
        <v>895</v>
      </c>
      <c r="B20" s="241">
        <f>21284-2767-738-495-2022-661-1188-1726-608-1707-717+279620+17684+616+6234+5165+345+10068+177462+8561+147534-21371+120664-6675-200-76-1593-56+1808+4382</f>
        <v>758827</v>
      </c>
      <c r="C20" s="241">
        <f>1628-172-46-31-125-41-74-123-38-106-157-40-11-7-29-10-10-9-25-37+100+4+35107+446+569+21501+1409+1575+1069+92+102+4144-1967-461+194+201+33470+329+297+13214+1961+1060+814+30244-6023+256-45+312-45+10899-1293-302+3387+800-95+625-90+11456+237+313+8747-102-431-24-101+7953-140-590-5-22+770+664+335</f>
        <v>183457</v>
      </c>
    </row>
    <row r="21" spans="1:3" x14ac:dyDescent="0.2">
      <c r="A21" t="s">
        <v>896</v>
      </c>
      <c r="B21" s="241">
        <f>21371+1593+56+200+6675+76</f>
        <v>29971</v>
      </c>
      <c r="C21" s="241">
        <f>6023+606+45+45+1293+302+95+90+102+431+24+101+140+589+5+22</f>
        <v>9913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1775663</v>
      </c>
      <c r="C22" s="232">
        <f>SUM(C19:C21)</f>
        <v>605261</v>
      </c>
    </row>
    <row r="23" spans="1:3" x14ac:dyDescent="0.2">
      <c r="B23" s="231"/>
      <c r="C23" s="231"/>
    </row>
    <row r="24" spans="1:3" x14ac:dyDescent="0.2">
      <c r="B24" s="273" t="s">
        <v>797</v>
      </c>
      <c r="C24" s="273"/>
    </row>
    <row r="25" spans="1:3" x14ac:dyDescent="0.2">
      <c r="A25" s="240" t="s">
        <v>683</v>
      </c>
      <c r="B25" s="271" t="s">
        <v>842</v>
      </c>
      <c r="C25" s="272"/>
    </row>
    <row r="26" spans="1:3" x14ac:dyDescent="0.2">
      <c r="B26" s="229" t="s">
        <v>136</v>
      </c>
      <c r="C26" s="229" t="s">
        <v>792</v>
      </c>
    </row>
    <row r="27" spans="1:3" x14ac:dyDescent="0.2">
      <c r="A27" s="33" t="s">
        <v>793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894</v>
      </c>
      <c r="B28" s="241"/>
      <c r="C28" s="241"/>
    </row>
    <row r="29" spans="1:3" x14ac:dyDescent="0.2">
      <c r="A29" t="s">
        <v>895</v>
      </c>
      <c r="B29" s="241"/>
      <c r="C29" s="241"/>
    </row>
    <row r="30" spans="1:3" x14ac:dyDescent="0.2">
      <c r="A30" t="s">
        <v>896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797</v>
      </c>
      <c r="C33" s="273"/>
    </row>
    <row r="34" spans="1:3" x14ac:dyDescent="0.2">
      <c r="A34" s="240" t="s">
        <v>684</v>
      </c>
      <c r="B34" s="271" t="s">
        <v>728</v>
      </c>
      <c r="C34" s="272"/>
    </row>
    <row r="35" spans="1:3" x14ac:dyDescent="0.2">
      <c r="B35" s="229" t="s">
        <v>136</v>
      </c>
      <c r="C35" s="229" t="s">
        <v>792</v>
      </c>
    </row>
    <row r="36" spans="1:3" x14ac:dyDescent="0.2">
      <c r="A36" s="33" t="s">
        <v>793</v>
      </c>
      <c r="B36" s="236">
        <f>'DOE25'!F199+'DOE25'!F217+'DOE25'!F235+'DOE25'!F278+'DOE25'!F297+'DOE25'!F316</f>
        <v>185226</v>
      </c>
      <c r="C36" s="236">
        <f>'DOE25'!G199+'DOE25'!G217+'DOE25'!G235+'DOE25'!G278+'DOE25'!G297+'DOE25'!G316</f>
        <v>35839</v>
      </c>
    </row>
    <row r="37" spans="1:3" x14ac:dyDescent="0.2">
      <c r="A37" t="s">
        <v>894</v>
      </c>
      <c r="B37" s="241">
        <v>185226</v>
      </c>
      <c r="C37" s="241">
        <v>35839</v>
      </c>
    </row>
    <row r="38" spans="1:3" x14ac:dyDescent="0.2">
      <c r="A38" t="s">
        <v>895</v>
      </c>
      <c r="B38" s="241"/>
      <c r="C38" s="241"/>
    </row>
    <row r="39" spans="1:3" x14ac:dyDescent="0.2">
      <c r="A39" t="s">
        <v>896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185226</v>
      </c>
      <c r="C40" s="232">
        <f>SUM(C37:C39)</f>
        <v>35839</v>
      </c>
    </row>
    <row r="41" spans="1:3" x14ac:dyDescent="0.2">
      <c r="B41" s="231"/>
      <c r="C41" s="231"/>
    </row>
    <row r="42" spans="1:3" x14ac:dyDescent="0.2">
      <c r="A42" s="33" t="s">
        <v>851</v>
      </c>
      <c r="B42" s="231"/>
      <c r="C42" s="231"/>
    </row>
    <row r="43" spans="1:3" x14ac:dyDescent="0.2">
      <c r="A43" t="s">
        <v>766</v>
      </c>
      <c r="B43" s="231"/>
      <c r="C43" s="231"/>
    </row>
    <row r="44" spans="1:3" x14ac:dyDescent="0.2">
      <c r="A44" t="s">
        <v>767</v>
      </c>
    </row>
    <row r="45" spans="1:3" x14ac:dyDescent="0.2">
      <c r="A45" t="s">
        <v>858</v>
      </c>
    </row>
    <row r="48" spans="1:3" x14ac:dyDescent="0.2">
      <c r="A48" s="265" t="s">
        <v>794</v>
      </c>
    </row>
    <row r="49" spans="1:1" x14ac:dyDescent="0.2">
      <c r="A49" s="269" t="s">
        <v>859</v>
      </c>
    </row>
    <row r="50" spans="1:1" x14ac:dyDescent="0.2">
      <c r="A50" s="269" t="s">
        <v>762</v>
      </c>
    </row>
    <row r="51" spans="1:1" x14ac:dyDescent="0.2">
      <c r="A51" s="269" t="s">
        <v>907</v>
      </c>
    </row>
    <row r="52" spans="1:1" x14ac:dyDescent="0.2">
      <c r="A52" s="270" t="s">
        <v>765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zoomScale="150" workbookViewId="0">
      <pane ySplit="4" topLeftCell="A5" activePane="bottomLeft" state="frozen"/>
      <selection pane="bottomLeft" activeCell="A24" sqref="A24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685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736</v>
      </c>
      <c r="B2" s="266" t="str">
        <f>'DOE25'!A2</f>
        <v>HOPKINTON SCHOOL DISTRICT</v>
      </c>
      <c r="C2" s="181"/>
      <c r="D2" s="181" t="s">
        <v>687</v>
      </c>
      <c r="E2" s="181" t="s">
        <v>802</v>
      </c>
      <c r="F2" s="275" t="s">
        <v>832</v>
      </c>
      <c r="G2" s="276"/>
      <c r="H2" s="277"/>
      <c r="I2" s="181"/>
    </row>
    <row r="3" spans="1:9" x14ac:dyDescent="0.2">
      <c r="A3" s="181" t="s">
        <v>68</v>
      </c>
      <c r="B3" s="229" t="s">
        <v>96</v>
      </c>
      <c r="C3" s="181" t="s">
        <v>91</v>
      </c>
      <c r="D3" s="181" t="s">
        <v>801</v>
      </c>
      <c r="E3" s="181" t="s">
        <v>803</v>
      </c>
      <c r="F3" s="242" t="s">
        <v>871</v>
      </c>
      <c r="G3" s="218" t="s">
        <v>141</v>
      </c>
      <c r="H3" s="243" t="s">
        <v>806</v>
      </c>
    </row>
    <row r="4" spans="1:9" x14ac:dyDescent="0.2">
      <c r="A4" s="252" t="s">
        <v>808</v>
      </c>
      <c r="B4" s="252" t="s">
        <v>826</v>
      </c>
      <c r="C4" s="252" t="s">
        <v>686</v>
      </c>
      <c r="D4" s="252" t="s">
        <v>827</v>
      </c>
      <c r="E4" s="252" t="s">
        <v>827</v>
      </c>
      <c r="F4" s="251" t="s">
        <v>805</v>
      </c>
      <c r="G4" s="252" t="s">
        <v>820</v>
      </c>
      <c r="H4" s="253" t="s">
        <v>807</v>
      </c>
    </row>
    <row r="5" spans="1:9" x14ac:dyDescent="0.2">
      <c r="A5" s="32">
        <v>1000</v>
      </c>
      <c r="B5" t="s">
        <v>48</v>
      </c>
      <c r="C5" s="246">
        <f t="shared" ref="C5:C19" si="0">SUM(D5:H5)</f>
        <v>9177070</v>
      </c>
      <c r="D5" s="20">
        <f>SUM('DOE25'!L196:L199)+SUM('DOE25'!L214:L217)+SUM('DOE25'!L232:L235)-F5-G5</f>
        <v>9112218</v>
      </c>
      <c r="E5" s="244"/>
      <c r="F5" s="256">
        <f>SUM('DOE25'!J196:J199)+SUM('DOE25'!J214:J217)+SUM('DOE25'!J232:J235)</f>
        <v>58367</v>
      </c>
      <c r="G5" s="53">
        <f>SUM('DOE25'!K196:K199)+SUM('DOE25'!K214:K217)+SUM('DOE25'!K232:K235)</f>
        <v>6485</v>
      </c>
      <c r="H5" s="260"/>
    </row>
    <row r="6" spans="1:9" x14ac:dyDescent="0.2">
      <c r="A6" s="32">
        <v>2100</v>
      </c>
      <c r="B6" t="s">
        <v>809</v>
      </c>
      <c r="C6" s="246">
        <f t="shared" si="0"/>
        <v>1183520</v>
      </c>
      <c r="D6" s="20">
        <f>'DOE25'!L201+'DOE25'!L219+'DOE25'!L237-F6-G6</f>
        <v>1181457</v>
      </c>
      <c r="E6" s="244"/>
      <c r="F6" s="256">
        <f>'DOE25'!J201+'DOE25'!J219+'DOE25'!J237</f>
        <v>2063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870</v>
      </c>
      <c r="C7" s="246">
        <f t="shared" si="0"/>
        <v>815417</v>
      </c>
      <c r="D7" s="20">
        <f>'DOE25'!L202+'DOE25'!L220+'DOE25'!L238-F7-G7</f>
        <v>691352</v>
      </c>
      <c r="E7" s="244"/>
      <c r="F7" s="256">
        <f>'DOE25'!J202+'DOE25'!J220+'DOE25'!J238</f>
        <v>105511</v>
      </c>
      <c r="G7" s="53">
        <f>'DOE25'!K202+'DOE25'!K220+'DOE25'!K238</f>
        <v>18554</v>
      </c>
      <c r="H7" s="260"/>
    </row>
    <row r="8" spans="1:9" x14ac:dyDescent="0.2">
      <c r="A8" s="32">
        <v>2300</v>
      </c>
      <c r="B8" t="s">
        <v>810</v>
      </c>
      <c r="C8" s="246">
        <f t="shared" si="0"/>
        <v>259669</v>
      </c>
      <c r="D8" s="244"/>
      <c r="E8" s="20">
        <f>'DOE25'!L203+'DOE25'!L221+'DOE25'!L239-F8-G8-D9-D11</f>
        <v>241044</v>
      </c>
      <c r="F8" s="256">
        <f>'DOE25'!J203+'DOE25'!J221+'DOE25'!J239</f>
        <v>2620</v>
      </c>
      <c r="G8" s="53">
        <f>'DOE25'!K203+'DOE25'!K221+'DOE25'!K239</f>
        <v>16005</v>
      </c>
      <c r="H8" s="260"/>
    </row>
    <row r="9" spans="1:9" x14ac:dyDescent="0.2">
      <c r="A9" s="32">
        <v>2310</v>
      </c>
      <c r="B9" t="s">
        <v>828</v>
      </c>
      <c r="C9" s="246">
        <f t="shared" si="0"/>
        <v>15714</v>
      </c>
      <c r="D9" s="245">
        <v>15714</v>
      </c>
      <c r="E9" s="244"/>
      <c r="F9" s="259"/>
      <c r="G9" s="257"/>
      <c r="H9" s="260"/>
    </row>
    <row r="10" spans="1:9" x14ac:dyDescent="0.2">
      <c r="A10" s="32">
        <v>2317</v>
      </c>
      <c r="B10" t="s">
        <v>829</v>
      </c>
      <c r="C10" s="246">
        <f t="shared" si="0"/>
        <v>13392</v>
      </c>
      <c r="D10" s="244"/>
      <c r="E10" s="245">
        <v>13392</v>
      </c>
      <c r="F10" s="259"/>
      <c r="G10" s="257"/>
      <c r="H10" s="260"/>
    </row>
    <row r="11" spans="1:9" x14ac:dyDescent="0.2">
      <c r="A11" s="32">
        <v>2321</v>
      </c>
      <c r="B11" t="s">
        <v>845</v>
      </c>
      <c r="C11" s="246">
        <f t="shared" si="0"/>
        <v>265051</v>
      </c>
      <c r="D11" s="245">
        <f>307801-4748-3096-1613-84-8722-5292-5276-371-459-4244-426-1498-219-332-572-4610-1188</f>
        <v>265051</v>
      </c>
      <c r="E11" s="244"/>
      <c r="F11" s="259"/>
      <c r="G11" s="257"/>
      <c r="H11" s="260"/>
    </row>
    <row r="12" spans="1:9" x14ac:dyDescent="0.2">
      <c r="A12" s="32">
        <v>2400</v>
      </c>
      <c r="B12" t="s">
        <v>734</v>
      </c>
      <c r="C12" s="246">
        <f t="shared" si="0"/>
        <v>783095</v>
      </c>
      <c r="D12" s="20">
        <f>'DOE25'!L204+'DOE25'!L222+'DOE25'!L240-F12-G12</f>
        <v>773154</v>
      </c>
      <c r="E12" s="244"/>
      <c r="F12" s="256">
        <f>'DOE25'!J204+'DOE25'!J222+'DOE25'!J240</f>
        <v>2655</v>
      </c>
      <c r="G12" s="53">
        <f>'DOE25'!K204+'DOE25'!K222+'DOE25'!K240</f>
        <v>7286</v>
      </c>
      <c r="H12" s="260"/>
    </row>
    <row r="13" spans="1:9" x14ac:dyDescent="0.2">
      <c r="A13" s="32">
        <v>2500</v>
      </c>
      <c r="B13" t="s">
        <v>811</v>
      </c>
      <c r="C13" s="246">
        <f t="shared" si="0"/>
        <v>239184</v>
      </c>
      <c r="D13" s="244"/>
      <c r="E13" s="20">
        <f>'DOE25'!L205+'DOE25'!L223+'DOE25'!L241-F13-G13</f>
        <v>239184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868</v>
      </c>
      <c r="C14" s="246">
        <f t="shared" si="0"/>
        <v>1102183</v>
      </c>
      <c r="D14" s="20">
        <f>'DOE25'!L206+'DOE25'!L224+'DOE25'!L242-F14-G14</f>
        <v>1071869</v>
      </c>
      <c r="E14" s="244"/>
      <c r="F14" s="256">
        <f>'DOE25'!J206+'DOE25'!J224+'DOE25'!J242</f>
        <v>30314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812</v>
      </c>
      <c r="C15" s="246">
        <f t="shared" si="0"/>
        <v>563633</v>
      </c>
      <c r="D15" s="20">
        <f>'DOE25'!L207+'DOE25'!L225+'DOE25'!L243-F15-G15</f>
        <v>556773</v>
      </c>
      <c r="E15" s="244"/>
      <c r="F15" s="256">
        <f>'DOE25'!J207+'DOE25'!J225+'DOE25'!J243</f>
        <v>6533</v>
      </c>
      <c r="G15" s="53">
        <f>'DOE25'!K207+'DOE25'!K225+'DOE25'!K243</f>
        <v>327</v>
      </c>
      <c r="H15" s="260"/>
    </row>
    <row r="16" spans="1:9" x14ac:dyDescent="0.2">
      <c r="A16" s="32">
        <v>2800</v>
      </c>
      <c r="B16" t="s">
        <v>813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814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704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705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804</v>
      </c>
      <c r="F21" s="261"/>
      <c r="G21" s="52"/>
      <c r="H21" s="262"/>
    </row>
    <row r="22" spans="1:8" x14ac:dyDescent="0.2">
      <c r="A22" s="32">
        <v>4000</v>
      </c>
      <c r="B22" t="s">
        <v>869</v>
      </c>
      <c r="C22" s="246">
        <f>SUM(D22:H22)</f>
        <v>5400</v>
      </c>
      <c r="D22" s="244"/>
      <c r="E22" s="244"/>
      <c r="F22" s="256">
        <f>'DOE25'!L254+'DOE25'!L335</f>
        <v>5400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486</v>
      </c>
      <c r="F24" s="261"/>
      <c r="G24" s="52"/>
      <c r="H24" s="262"/>
    </row>
    <row r="25" spans="1:8" x14ac:dyDescent="0.2">
      <c r="A25" s="32" t="s">
        <v>706</v>
      </c>
      <c r="B25" t="s">
        <v>707</v>
      </c>
      <c r="C25" s="246">
        <f>SUM(D25:H25)</f>
        <v>546025</v>
      </c>
      <c r="D25" s="244"/>
      <c r="E25" s="244"/>
      <c r="F25" s="259"/>
      <c r="G25" s="257"/>
      <c r="H25" s="258">
        <f>'DOE25'!L259+'DOE25'!L260+'DOE25'!L340+'DOE25'!L341</f>
        <v>546025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709</v>
      </c>
      <c r="F27" s="261"/>
      <c r="G27" s="52"/>
      <c r="H27" s="262"/>
    </row>
    <row r="28" spans="1:8" x14ac:dyDescent="0.2">
      <c r="A28" s="32">
        <v>3100</v>
      </c>
      <c r="B28" t="s">
        <v>836</v>
      </c>
      <c r="F28" s="261"/>
      <c r="G28" s="52"/>
      <c r="H28" s="262"/>
    </row>
    <row r="29" spans="1:8" x14ac:dyDescent="0.2">
      <c r="A29" s="32"/>
      <c r="B29" t="s">
        <v>710</v>
      </c>
      <c r="C29" s="246">
        <f>SUM(D29:H29)</f>
        <v>231582</v>
      </c>
      <c r="D29" s="20">
        <f>'DOE25'!L357+'DOE25'!L358+'DOE25'!L359-'DOE25'!I366-F29-G29</f>
        <v>225909</v>
      </c>
      <c r="E29" s="244"/>
      <c r="F29" s="256">
        <f>'DOE25'!J357+'DOE25'!J358+'DOE25'!J359</f>
        <v>5029</v>
      </c>
      <c r="G29" s="53">
        <f>'DOE25'!K357+'DOE25'!K358+'DOE25'!K359</f>
        <v>644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838</v>
      </c>
      <c r="B31" t="s">
        <v>837</v>
      </c>
      <c r="C31" s="246">
        <f>SUM(D31:H31)</f>
        <v>418485</v>
      </c>
      <c r="D31" s="20">
        <f>'DOE25'!L289+'DOE25'!L308+'DOE25'!L327+'DOE25'!L332+'DOE25'!L333+'DOE25'!L334-F31-G31</f>
        <v>379812</v>
      </c>
      <c r="E31" s="244"/>
      <c r="F31" s="256">
        <f>'DOE25'!J289+'DOE25'!J308+'DOE25'!J327+'DOE25'!J332+'DOE25'!J333+'DOE25'!J334</f>
        <v>31066</v>
      </c>
      <c r="G31" s="53">
        <f>'DOE25'!K289+'DOE25'!K308+'DOE25'!K327+'DOE25'!K332+'DOE25'!K333+'DOE25'!K334</f>
        <v>7607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711</v>
      </c>
      <c r="D33" s="247">
        <f>SUM(D5:D31)</f>
        <v>14273309</v>
      </c>
      <c r="E33" s="247">
        <f>SUM(E5:E31)</f>
        <v>493620</v>
      </c>
      <c r="F33" s="247">
        <f>SUM(F5:F31)</f>
        <v>249558</v>
      </c>
      <c r="G33" s="247">
        <f>SUM(G5:G31)</f>
        <v>56908</v>
      </c>
      <c r="H33" s="247">
        <f>SUM(H5:H31)</f>
        <v>546025</v>
      </c>
    </row>
    <row r="35" spans="2:8" ht="12" thickBot="1" x14ac:dyDescent="0.25">
      <c r="B35" s="254" t="s">
        <v>909</v>
      </c>
      <c r="D35" s="255">
        <f>E33</f>
        <v>493620</v>
      </c>
      <c r="E35" s="250"/>
    </row>
    <row r="36" spans="2:8" ht="12" thickTop="1" x14ac:dyDescent="0.2">
      <c r="B36" t="s">
        <v>825</v>
      </c>
      <c r="D36" s="20">
        <f>D33</f>
        <v>14273309</v>
      </c>
    </row>
    <row r="38" spans="2:8" x14ac:dyDescent="0.2">
      <c r="B38" s="187" t="s">
        <v>852</v>
      </c>
      <c r="C38" s="267"/>
      <c r="D38" s="268"/>
    </row>
    <row r="39" spans="2:8" x14ac:dyDescent="0.2">
      <c r="B39" t="s">
        <v>835</v>
      </c>
      <c r="D39" s="181" t="str">
        <f>IF(E10&gt;0,"Y","N")</f>
        <v>Y</v>
      </c>
    </row>
    <row r="41" spans="2:8" x14ac:dyDescent="0.2">
      <c r="B41" s="265" t="s">
        <v>787</v>
      </c>
    </row>
    <row r="42" spans="2:8" x14ac:dyDescent="0.2">
      <c r="B42" t="s">
        <v>840</v>
      </c>
    </row>
    <row r="43" spans="2:8" x14ac:dyDescent="0.2">
      <c r="B43" t="s">
        <v>833</v>
      </c>
    </row>
    <row r="45" spans="2:8" x14ac:dyDescent="0.2">
      <c r="B45" t="s">
        <v>715</v>
      </c>
    </row>
    <row r="47" spans="2:8" x14ac:dyDescent="0.2">
      <c r="B47" t="s">
        <v>844</v>
      </c>
    </row>
    <row r="48" spans="2:8" x14ac:dyDescent="0.2">
      <c r="B48" t="s">
        <v>908</v>
      </c>
    </row>
    <row r="49" spans="2:2" x14ac:dyDescent="0.2">
      <c r="B49" t="s">
        <v>850</v>
      </c>
    </row>
    <row r="50" spans="2:2" x14ac:dyDescent="0.2">
      <c r="B50" t="s">
        <v>843</v>
      </c>
    </row>
    <row r="51" spans="2:2" x14ac:dyDescent="0.2">
      <c r="B51" t="s">
        <v>834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http://schemas.microsoft.com/office/mac/excel/2008/main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50" zoomScaleNormal="80" zoomScalePageLayoutView="80" workbookViewId="0">
      <pane ySplit="2" topLeftCell="A141" activePane="bottomLeft" state="frozen"/>
      <selection pane="bottomLeft" activeCell="C140" sqref="C140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</v>
      </c>
      <c r="B2" s="126"/>
      <c r="C2" s="15" t="s">
        <v>472</v>
      </c>
      <c r="D2" s="15" t="s">
        <v>473</v>
      </c>
      <c r="E2" s="15" t="s">
        <v>474</v>
      </c>
      <c r="F2" s="15" t="s">
        <v>475</v>
      </c>
      <c r="G2" s="15" t="s">
        <v>476</v>
      </c>
      <c r="H2" s="125"/>
      <c r="I2" s="125"/>
    </row>
    <row r="3" spans="1:9" x14ac:dyDescent="0.2">
      <c r="A3" s="5" t="s">
        <v>478</v>
      </c>
      <c r="B3" s="6" t="s">
        <v>155</v>
      </c>
      <c r="C3" s="23" t="s">
        <v>312</v>
      </c>
      <c r="D3" s="23" t="s">
        <v>313</v>
      </c>
      <c r="E3" s="23" t="s">
        <v>314</v>
      </c>
      <c r="F3" s="23" t="s">
        <v>315</v>
      </c>
      <c r="G3" s="23" t="s">
        <v>316</v>
      </c>
      <c r="H3" s="4"/>
      <c r="I3" s="4"/>
    </row>
    <row r="4" spans="1:9" x14ac:dyDescent="0.2">
      <c r="A4" s="1" t="s">
        <v>318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319</v>
      </c>
      <c r="D5" s="26" t="s">
        <v>320</v>
      </c>
      <c r="E5" s="25" t="s">
        <v>321</v>
      </c>
      <c r="F5" s="25" t="s">
        <v>322</v>
      </c>
      <c r="G5" s="25" t="s">
        <v>323</v>
      </c>
      <c r="H5" s="124"/>
      <c r="I5" s="124"/>
    </row>
    <row r="6" spans="1:9" x14ac:dyDescent="0.2">
      <c r="A6" s="1" t="s">
        <v>324</v>
      </c>
      <c r="B6" s="7"/>
      <c r="C6" s="14" t="s">
        <v>325</v>
      </c>
      <c r="D6" s="13"/>
      <c r="E6" s="13"/>
      <c r="F6" s="13"/>
      <c r="G6" s="13"/>
      <c r="H6" s="124"/>
      <c r="I6" s="124"/>
    </row>
    <row r="7" spans="1:9" x14ac:dyDescent="0.2">
      <c r="A7" s="29" t="s">
        <v>326</v>
      </c>
      <c r="B7" s="7"/>
      <c r="C7" s="24" t="s">
        <v>327</v>
      </c>
      <c r="D7" s="24" t="s">
        <v>327</v>
      </c>
      <c r="E7" s="24" t="s">
        <v>327</v>
      </c>
      <c r="F7" s="24" t="s">
        <v>327</v>
      </c>
      <c r="G7" s="24" t="s">
        <v>327</v>
      </c>
      <c r="H7" s="124"/>
      <c r="I7" s="124"/>
    </row>
    <row r="8" spans="1:9" x14ac:dyDescent="0.2">
      <c r="A8" s="1" t="s">
        <v>156</v>
      </c>
      <c r="B8" s="6">
        <v>100</v>
      </c>
      <c r="C8" s="95">
        <f>'DOE25'!F9</f>
        <v>500508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437930</v>
      </c>
      <c r="H8" s="124"/>
      <c r="I8" s="124"/>
    </row>
    <row r="9" spans="1:9" x14ac:dyDescent="0.2">
      <c r="A9" s="1" t="s">
        <v>157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158</v>
      </c>
      <c r="B10" s="6">
        <v>120</v>
      </c>
      <c r="C10" s="95">
        <f>'DOE25'!F11</f>
        <v>0</v>
      </c>
      <c r="D10" s="24" t="s">
        <v>327</v>
      </c>
      <c r="E10" s="24" t="s">
        <v>327</v>
      </c>
      <c r="F10" s="24" t="s">
        <v>327</v>
      </c>
      <c r="G10" s="24" t="s">
        <v>327</v>
      </c>
      <c r="H10" s="124"/>
      <c r="I10" s="124"/>
    </row>
    <row r="11" spans="1:9" x14ac:dyDescent="0.2">
      <c r="A11" s="1" t="s">
        <v>159</v>
      </c>
      <c r="B11" s="6">
        <v>130</v>
      </c>
      <c r="C11" s="95">
        <f>'DOE25'!F12</f>
        <v>63135</v>
      </c>
      <c r="D11" s="95">
        <f>'DOE25'!G12</f>
        <v>5276</v>
      </c>
      <c r="E11" s="95">
        <f>'DOE25'!H12</f>
        <v>36202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160</v>
      </c>
      <c r="B12" s="6">
        <v>140</v>
      </c>
      <c r="C12" s="95">
        <f>'DOE25'!F13</f>
        <v>22262</v>
      </c>
      <c r="D12" s="95">
        <f>'DOE25'!G13</f>
        <v>3646</v>
      </c>
      <c r="E12" s="95">
        <f>'DOE25'!H13</f>
        <v>64534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164</v>
      </c>
      <c r="B13" s="6">
        <v>150</v>
      </c>
      <c r="C13" s="95">
        <f>'DOE25'!F14</f>
        <v>14404</v>
      </c>
      <c r="D13" s="95">
        <f>'DOE25'!G14</f>
        <v>327</v>
      </c>
      <c r="E13" s="95">
        <f>'DOE25'!H14</f>
        <v>2557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165</v>
      </c>
      <c r="B14" s="6">
        <v>160</v>
      </c>
      <c r="C14" s="24" t="s">
        <v>327</v>
      </c>
      <c r="D14" s="24" t="s">
        <v>327</v>
      </c>
      <c r="E14" s="24" t="s">
        <v>327</v>
      </c>
      <c r="F14" s="95">
        <f>'DOE25'!I15</f>
        <v>0</v>
      </c>
      <c r="G14" s="24" t="s">
        <v>327</v>
      </c>
      <c r="H14" s="124"/>
      <c r="I14" s="124"/>
    </row>
    <row r="15" spans="1:9" x14ac:dyDescent="0.2">
      <c r="A15" s="1" t="s">
        <v>166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327</v>
      </c>
      <c r="H15" s="124"/>
      <c r="I15" s="124"/>
    </row>
    <row r="16" spans="1:9" x14ac:dyDescent="0.2">
      <c r="A16" s="1" t="s">
        <v>167</v>
      </c>
      <c r="B16" s="6">
        <v>180</v>
      </c>
      <c r="C16" s="95">
        <f>'DOE25'!F17</f>
        <v>27506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168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6</v>
      </c>
      <c r="B18" s="39"/>
      <c r="C18" s="41">
        <f>SUM(C8:C17)</f>
        <v>627815</v>
      </c>
      <c r="D18" s="41">
        <f>SUM(D8:D17)</f>
        <v>9349</v>
      </c>
      <c r="E18" s="41">
        <f>SUM(E8:E17)</f>
        <v>103293</v>
      </c>
      <c r="F18" s="41">
        <f>SUM(F8:F17)</f>
        <v>0</v>
      </c>
      <c r="G18" s="41">
        <f>SUM(G8:G17)</f>
        <v>437930</v>
      </c>
      <c r="H18" s="124"/>
      <c r="I18" s="124"/>
    </row>
    <row r="19" spans="1:9" x14ac:dyDescent="0.2">
      <c r="A19" s="1" t="s">
        <v>338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339</v>
      </c>
      <c r="B20" s="7"/>
      <c r="C20" s="24" t="s">
        <v>327</v>
      </c>
      <c r="D20" s="24" t="s">
        <v>327</v>
      </c>
      <c r="E20" s="24" t="s">
        <v>327</v>
      </c>
      <c r="F20" s="24" t="s">
        <v>327</v>
      </c>
      <c r="G20" s="24" t="s">
        <v>327</v>
      </c>
      <c r="H20" s="124"/>
      <c r="I20" s="124"/>
    </row>
    <row r="21" spans="1:9" x14ac:dyDescent="0.2">
      <c r="A21" s="1" t="s">
        <v>7</v>
      </c>
      <c r="B21" s="6">
        <v>400</v>
      </c>
      <c r="C21" s="95">
        <f>'DOE25'!F22</f>
        <v>41478</v>
      </c>
      <c r="D21" s="95">
        <f>'DOE25'!G22</f>
        <v>0</v>
      </c>
      <c r="E21" s="95">
        <f>'DOE25'!H22</f>
        <v>63135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8</v>
      </c>
      <c r="B22" s="6">
        <v>410</v>
      </c>
      <c r="C22" s="95">
        <f>'DOE25'!F23</f>
        <v>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9</v>
      </c>
      <c r="B23" s="6">
        <v>420</v>
      </c>
      <c r="C23" s="95">
        <f>'DOE25'!F24</f>
        <v>90713</v>
      </c>
      <c r="D23" s="95">
        <f>'DOE25'!G24</f>
        <v>0</v>
      </c>
      <c r="E23" s="95">
        <f>'DOE25'!H24</f>
        <v>815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10</v>
      </c>
      <c r="B24" s="6">
        <v>430</v>
      </c>
      <c r="C24" s="95" t="str">
        <f>'DOE25'!F25</f>
        <v xml:space="preserve"> </v>
      </c>
      <c r="D24" s="95">
        <f>'DOE25'!G25</f>
        <v>2211</v>
      </c>
      <c r="E24" s="95" t="str">
        <f>'DOE25'!H25</f>
        <v xml:space="preserve"> </v>
      </c>
      <c r="F24" s="95">
        <f>'DOE25'!I25</f>
        <v>0</v>
      </c>
      <c r="G24" s="24" t="s">
        <v>327</v>
      </c>
      <c r="H24" s="124"/>
      <c r="I24" s="124"/>
    </row>
    <row r="25" spans="1:9" x14ac:dyDescent="0.2">
      <c r="A25" s="1" t="s">
        <v>176</v>
      </c>
      <c r="B25" s="6">
        <v>440</v>
      </c>
      <c r="C25" s="95">
        <f>'DOE25'!F26</f>
        <v>0</v>
      </c>
      <c r="D25" s="24" t="s">
        <v>327</v>
      </c>
      <c r="E25" s="24" t="s">
        <v>327</v>
      </c>
      <c r="F25" s="95">
        <f>'DOE25'!I26</f>
        <v>0</v>
      </c>
      <c r="G25" s="24" t="s">
        <v>327</v>
      </c>
      <c r="H25" s="124"/>
      <c r="I25" s="124"/>
    </row>
    <row r="26" spans="1:9" x14ac:dyDescent="0.2">
      <c r="A26" s="1" t="s">
        <v>177</v>
      </c>
      <c r="B26" s="6">
        <v>450</v>
      </c>
      <c r="C26" s="95">
        <f>'DOE25'!F27</f>
        <v>0</v>
      </c>
      <c r="D26" s="24" t="s">
        <v>327</v>
      </c>
      <c r="E26" s="24" t="s">
        <v>327</v>
      </c>
      <c r="F26" s="95">
        <f>'DOE25'!I27</f>
        <v>0</v>
      </c>
      <c r="G26" s="24" t="s">
        <v>327</v>
      </c>
      <c r="H26" s="124"/>
      <c r="I26" s="124"/>
    </row>
    <row r="27" spans="1:9" x14ac:dyDescent="0.2">
      <c r="A27" s="1" t="s">
        <v>178</v>
      </c>
      <c r="B27" s="6">
        <v>460</v>
      </c>
      <c r="C27" s="95">
        <f>'DOE25'!F28</f>
        <v>90610</v>
      </c>
      <c r="D27" s="95">
        <f>'DOE25'!G28</f>
        <v>0</v>
      </c>
      <c r="E27" s="95">
        <f>'DOE25'!H28</f>
        <v>1085</v>
      </c>
      <c r="F27" s="95">
        <f>'DOE25'!I28</f>
        <v>0</v>
      </c>
      <c r="G27" s="24" t="s">
        <v>327</v>
      </c>
      <c r="H27" s="124"/>
      <c r="I27" s="124"/>
    </row>
    <row r="28" spans="1:9" x14ac:dyDescent="0.2">
      <c r="A28" s="1" t="s">
        <v>179</v>
      </c>
      <c r="B28" s="6">
        <v>470</v>
      </c>
      <c r="C28" s="95" t="str">
        <f>'DOE25'!F29</f>
        <v xml:space="preserve"> 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327</v>
      </c>
      <c r="H28" s="124"/>
      <c r="I28" s="124"/>
    </row>
    <row r="29" spans="1:9" x14ac:dyDescent="0.2">
      <c r="A29" s="1" t="s">
        <v>180</v>
      </c>
      <c r="B29" s="6">
        <v>480</v>
      </c>
      <c r="C29" s="95">
        <f>'DOE25'!F30</f>
        <v>275</v>
      </c>
      <c r="D29" s="95">
        <f>'DOE25'!G30</f>
        <v>7138</v>
      </c>
      <c r="E29" s="95">
        <f>'DOE25'!H30</f>
        <v>38258</v>
      </c>
      <c r="F29" s="95">
        <f>'DOE25'!I30</f>
        <v>0</v>
      </c>
      <c r="G29" s="24" t="s">
        <v>327</v>
      </c>
      <c r="H29" s="124"/>
      <c r="I29" s="124"/>
    </row>
    <row r="30" spans="1:9" ht="12" thickBot="1" x14ac:dyDescent="0.25">
      <c r="A30" s="1" t="s">
        <v>181</v>
      </c>
      <c r="B30" s="71">
        <v>490</v>
      </c>
      <c r="C30" s="95" t="str">
        <f>'DOE25'!F31</f>
        <v xml:space="preserve"> </v>
      </c>
      <c r="D30" s="95">
        <f>'DOE25'!G31</f>
        <v>0</v>
      </c>
      <c r="E30" s="95" t="str">
        <f>'DOE25'!H31</f>
        <v xml:space="preserve"> 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182</v>
      </c>
      <c r="B31" s="2"/>
      <c r="C31" s="41">
        <f>SUM(C21:C30)</f>
        <v>223077</v>
      </c>
      <c r="D31" s="41">
        <f>SUM(D21:D30)</f>
        <v>9349</v>
      </c>
      <c r="E31" s="41">
        <f>SUM(E21:E30)</f>
        <v>103293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340</v>
      </c>
      <c r="B32" s="2" t="s">
        <v>325</v>
      </c>
      <c r="C32" s="24" t="s">
        <v>327</v>
      </c>
      <c r="D32" s="24" t="s">
        <v>327</v>
      </c>
      <c r="E32" s="24" t="s">
        <v>327</v>
      </c>
      <c r="F32" s="24" t="s">
        <v>327</v>
      </c>
      <c r="G32" s="24" t="s">
        <v>327</v>
      </c>
      <c r="H32" s="124"/>
      <c r="I32" s="124"/>
    </row>
    <row r="33" spans="1:9" x14ac:dyDescent="0.2">
      <c r="A33" s="29" t="s">
        <v>906</v>
      </c>
      <c r="B33" s="2"/>
      <c r="C33" s="24" t="s">
        <v>327</v>
      </c>
      <c r="D33" s="24" t="s">
        <v>327</v>
      </c>
      <c r="E33" s="24" t="s">
        <v>327</v>
      </c>
      <c r="F33" s="24" t="s">
        <v>327</v>
      </c>
      <c r="G33" s="24" t="s">
        <v>327</v>
      </c>
      <c r="H33" s="124"/>
      <c r="I33" s="124"/>
    </row>
    <row r="34" spans="1:9" x14ac:dyDescent="0.2">
      <c r="A34" s="1" t="s">
        <v>863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327</v>
      </c>
      <c r="H34" s="124"/>
      <c r="I34" s="124"/>
    </row>
    <row r="35" spans="1:9" x14ac:dyDescent="0.2">
      <c r="A35" s="1" t="s">
        <v>864</v>
      </c>
      <c r="B35" s="6">
        <v>752</v>
      </c>
      <c r="C35" s="95">
        <f>'DOE25'!F36</f>
        <v>27506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327</v>
      </c>
      <c r="H35" s="124"/>
      <c r="I35" s="124"/>
    </row>
    <row r="36" spans="1:9" x14ac:dyDescent="0.2">
      <c r="A36" s="1" t="s">
        <v>817</v>
      </c>
      <c r="B36" s="6">
        <v>756</v>
      </c>
      <c r="C36" s="95" t="str">
        <f>'DOE25'!F37</f>
        <v xml:space="preserve"> 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905</v>
      </c>
      <c r="B37" s="6"/>
      <c r="C37" s="24" t="s">
        <v>327</v>
      </c>
      <c r="D37" s="24" t="s">
        <v>327</v>
      </c>
      <c r="E37" s="24" t="s">
        <v>327</v>
      </c>
      <c r="F37" s="24" t="s">
        <v>327</v>
      </c>
      <c r="G37" s="24" t="s">
        <v>327</v>
      </c>
      <c r="H37" s="124"/>
      <c r="I37" s="124"/>
    </row>
    <row r="38" spans="1:9" x14ac:dyDescent="0.2">
      <c r="A38" s="1" t="s">
        <v>818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824</v>
      </c>
      <c r="B39" s="6"/>
      <c r="C39" s="24" t="s">
        <v>327</v>
      </c>
      <c r="D39" s="95">
        <f>'DOE25'!G40</f>
        <v>0</v>
      </c>
      <c r="E39" s="24" t="s">
        <v>327</v>
      </c>
      <c r="F39" s="24" t="s">
        <v>327</v>
      </c>
      <c r="G39" s="24" t="s">
        <v>327</v>
      </c>
      <c r="H39" s="124"/>
      <c r="I39" s="124"/>
    </row>
    <row r="40" spans="1:9" x14ac:dyDescent="0.2">
      <c r="A40" s="1" t="s">
        <v>892</v>
      </c>
      <c r="B40" s="6"/>
      <c r="C40" s="24" t="s">
        <v>327</v>
      </c>
      <c r="D40" s="24" t="s">
        <v>327</v>
      </c>
      <c r="E40" s="24" t="s">
        <v>327</v>
      </c>
      <c r="F40" s="95">
        <f>'DOE25'!I41</f>
        <v>0</v>
      </c>
      <c r="G40" s="24" t="s">
        <v>327</v>
      </c>
      <c r="H40" s="124"/>
      <c r="I40" s="124"/>
    </row>
    <row r="41" spans="1:9" x14ac:dyDescent="0.2">
      <c r="A41" s="29" t="s">
        <v>861</v>
      </c>
      <c r="B41" s="6"/>
      <c r="C41" s="24" t="s">
        <v>327</v>
      </c>
      <c r="D41" s="24" t="s">
        <v>327</v>
      </c>
      <c r="E41" s="24" t="s">
        <v>327</v>
      </c>
      <c r="F41" s="24" t="s">
        <v>327</v>
      </c>
      <c r="G41" s="24" t="s">
        <v>327</v>
      </c>
      <c r="H41" s="124"/>
      <c r="I41" s="124"/>
    </row>
    <row r="42" spans="1:9" x14ac:dyDescent="0.2">
      <c r="A42" s="1" t="s">
        <v>847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848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327</v>
      </c>
      <c r="H43" s="124"/>
      <c r="I43" s="124"/>
    </row>
    <row r="44" spans="1:9" x14ac:dyDescent="0.2">
      <c r="A44" s="1" t="s">
        <v>849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862</v>
      </c>
      <c r="B45" s="6"/>
      <c r="C45" s="24" t="s">
        <v>327</v>
      </c>
      <c r="D45" s="24" t="s">
        <v>327</v>
      </c>
      <c r="E45" s="24" t="s">
        <v>327</v>
      </c>
      <c r="F45" s="24" t="s">
        <v>327</v>
      </c>
      <c r="G45" s="24" t="s">
        <v>327</v>
      </c>
      <c r="H45" s="124"/>
      <c r="I45" s="124"/>
    </row>
    <row r="46" spans="1:9" x14ac:dyDescent="0.2">
      <c r="A46" s="1" t="s">
        <v>877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437930</v>
      </c>
      <c r="H46" s="124"/>
      <c r="I46" s="124"/>
    </row>
    <row r="47" spans="1:9" x14ac:dyDescent="0.2">
      <c r="A47" s="1" t="s">
        <v>893</v>
      </c>
      <c r="B47" s="6">
        <v>753</v>
      </c>
      <c r="C47" s="95">
        <f>'DOE25'!F48</f>
        <v>34284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878</v>
      </c>
      <c r="B48" s="71">
        <v>770</v>
      </c>
      <c r="C48" s="95">
        <f>'DOE25'!F49</f>
        <v>292948</v>
      </c>
      <c r="D48" s="24" t="s">
        <v>327</v>
      </c>
      <c r="E48" s="24" t="s">
        <v>327</v>
      </c>
      <c r="F48" s="24" t="s">
        <v>327</v>
      </c>
      <c r="G48" s="24" t="s">
        <v>327</v>
      </c>
      <c r="H48" s="124"/>
      <c r="I48" s="124"/>
    </row>
    <row r="49" spans="1:9" ht="12.75" thickTop="1" thickBot="1" x14ac:dyDescent="0.25">
      <c r="A49" s="38" t="s">
        <v>879</v>
      </c>
      <c r="B49" s="48"/>
      <c r="C49" s="41">
        <f>SUM(C34:C48)</f>
        <v>404738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437930</v>
      </c>
      <c r="H49" s="124"/>
      <c r="I49" s="124"/>
    </row>
    <row r="50" spans="1:9" ht="12" thickTop="1" x14ac:dyDescent="0.2">
      <c r="A50" s="38" t="s">
        <v>880</v>
      </c>
      <c r="B50" s="2"/>
      <c r="C50" s="41">
        <f>C49+C31</f>
        <v>627815</v>
      </c>
      <c r="D50" s="41">
        <f>D49+D31</f>
        <v>9349</v>
      </c>
      <c r="E50" s="41">
        <f>E49+E31</f>
        <v>103293</v>
      </c>
      <c r="F50" s="41">
        <f>F49+F31</f>
        <v>0</v>
      </c>
      <c r="G50" s="41">
        <f>G49+G31</f>
        <v>437930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319</v>
      </c>
      <c r="D52" s="16" t="s">
        <v>320</v>
      </c>
      <c r="E52" s="16" t="s">
        <v>321</v>
      </c>
      <c r="F52" s="16" t="s">
        <v>322</v>
      </c>
      <c r="G52" s="16" t="s">
        <v>170</v>
      </c>
    </row>
    <row r="53" spans="1:9" x14ac:dyDescent="0.2">
      <c r="A53" s="1" t="s">
        <v>350</v>
      </c>
      <c r="B53" s="127"/>
      <c r="C53" s="24" t="s">
        <v>327</v>
      </c>
      <c r="D53" s="24" t="s">
        <v>327</v>
      </c>
      <c r="E53" s="24" t="s">
        <v>327</v>
      </c>
      <c r="F53" s="24" t="s">
        <v>327</v>
      </c>
      <c r="G53" s="24" t="s">
        <v>327</v>
      </c>
      <c r="H53" s="20"/>
      <c r="I53" s="20"/>
    </row>
    <row r="54" spans="1:9" x14ac:dyDescent="0.2">
      <c r="A54" s="128" t="s">
        <v>183</v>
      </c>
      <c r="B54" s="127"/>
      <c r="C54" s="24" t="s">
        <v>327</v>
      </c>
      <c r="D54" s="24" t="s">
        <v>327</v>
      </c>
      <c r="E54" s="24" t="s">
        <v>327</v>
      </c>
      <c r="F54" s="24" t="s">
        <v>327</v>
      </c>
      <c r="G54" s="24" t="s">
        <v>327</v>
      </c>
      <c r="H54"/>
      <c r="I54"/>
    </row>
    <row r="55" spans="1:9" x14ac:dyDescent="0.2">
      <c r="A55" s="1" t="s">
        <v>184</v>
      </c>
      <c r="B55" s="6" t="s">
        <v>185</v>
      </c>
      <c r="C55" s="95">
        <f>'DOE25'!F59</f>
        <v>11108478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186</v>
      </c>
      <c r="B56" s="6" t="s">
        <v>75</v>
      </c>
      <c r="C56" s="95">
        <f>'DOE25'!F78</f>
        <v>42763</v>
      </c>
      <c r="D56" s="24" t="s">
        <v>327</v>
      </c>
      <c r="E56" s="95">
        <f>'DOE25'!H78</f>
        <v>0</v>
      </c>
      <c r="F56" s="24" t="s">
        <v>327</v>
      </c>
      <c r="G56" s="24" t="s">
        <v>327</v>
      </c>
      <c r="H56"/>
      <c r="I56"/>
    </row>
    <row r="57" spans="1:9" x14ac:dyDescent="0.2">
      <c r="A57" s="1" t="s">
        <v>187</v>
      </c>
      <c r="B57" s="6" t="s">
        <v>188</v>
      </c>
      <c r="C57" s="95">
        <f>'DOE25'!F93</f>
        <v>0</v>
      </c>
      <c r="D57" s="24" t="s">
        <v>327</v>
      </c>
      <c r="E57" s="95">
        <f>'DOE25'!H93</f>
        <v>0</v>
      </c>
      <c r="F57" s="24" t="s">
        <v>327</v>
      </c>
      <c r="G57" s="24" t="s">
        <v>327</v>
      </c>
      <c r="H57"/>
      <c r="I57"/>
    </row>
    <row r="58" spans="1:9" x14ac:dyDescent="0.2">
      <c r="A58" s="69" t="s">
        <v>189</v>
      </c>
      <c r="B58" s="37" t="s">
        <v>190</v>
      </c>
      <c r="C58" s="95">
        <f>'DOE25'!F95</f>
        <v>1473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738</v>
      </c>
      <c r="H58"/>
      <c r="I58"/>
    </row>
    <row r="59" spans="1:9" x14ac:dyDescent="0.2">
      <c r="A59" s="1" t="s">
        <v>191</v>
      </c>
      <c r="B59" s="118" t="s">
        <v>192</v>
      </c>
      <c r="C59" s="24" t="s">
        <v>327</v>
      </c>
      <c r="D59" s="95">
        <f>'DOE25'!G96</f>
        <v>219059</v>
      </c>
      <c r="E59" s="24" t="s">
        <v>327</v>
      </c>
      <c r="F59" s="24" t="s">
        <v>327</v>
      </c>
      <c r="G59" s="24" t="s">
        <v>327</v>
      </c>
      <c r="H59"/>
      <c r="I59"/>
    </row>
    <row r="60" spans="1:9" ht="12" thickBot="1" x14ac:dyDescent="0.25">
      <c r="A60" s="1" t="s">
        <v>27</v>
      </c>
      <c r="B60" s="118" t="s">
        <v>197</v>
      </c>
      <c r="C60" s="95">
        <f>SUM('DOE25'!F97:F109)</f>
        <v>96023</v>
      </c>
      <c r="D60" s="95">
        <f>SUM('DOE25'!G97:G109)</f>
        <v>0</v>
      </c>
      <c r="E60" s="95">
        <f>SUM('DOE25'!H97:H109)</f>
        <v>39323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30</v>
      </c>
      <c r="B61" s="6"/>
      <c r="C61" s="130">
        <f>SUM(C56:C60)</f>
        <v>140259</v>
      </c>
      <c r="D61" s="130">
        <f>SUM(D56:D60)</f>
        <v>219059</v>
      </c>
      <c r="E61" s="130">
        <f>SUM(E56:E60)</f>
        <v>39323</v>
      </c>
      <c r="F61" s="130">
        <f>SUM(F56:F60)</f>
        <v>0</v>
      </c>
      <c r="G61" s="130">
        <f>SUM(G56:G60)</f>
        <v>738</v>
      </c>
      <c r="H61"/>
      <c r="I61"/>
    </row>
    <row r="62" spans="1:9" ht="12" thickTop="1" x14ac:dyDescent="0.2">
      <c r="A62" s="29" t="s">
        <v>31</v>
      </c>
      <c r="B62" s="6"/>
      <c r="C62" s="22">
        <f>C55+C61</f>
        <v>11248737</v>
      </c>
      <c r="D62" s="22">
        <f>D55+D61</f>
        <v>219059</v>
      </c>
      <c r="E62" s="22">
        <f>E55+E61</f>
        <v>39323</v>
      </c>
      <c r="F62" s="22">
        <f>F55+F61</f>
        <v>0</v>
      </c>
      <c r="G62" s="22">
        <f>G55+G61</f>
        <v>738</v>
      </c>
      <c r="H62"/>
      <c r="I62"/>
    </row>
    <row r="63" spans="1:9" x14ac:dyDescent="0.2">
      <c r="A63" s="29" t="s">
        <v>351</v>
      </c>
      <c r="B63" s="6"/>
      <c r="C63" s="24" t="s">
        <v>327</v>
      </c>
      <c r="D63" s="24" t="s">
        <v>327</v>
      </c>
      <c r="E63" s="24" t="s">
        <v>327</v>
      </c>
      <c r="F63" s="24" t="s">
        <v>327</v>
      </c>
      <c r="G63" s="24" t="s">
        <v>327</v>
      </c>
      <c r="H63"/>
      <c r="I63"/>
    </row>
    <row r="64" spans="1:9" x14ac:dyDescent="0.2">
      <c r="A64" s="29" t="s">
        <v>32</v>
      </c>
      <c r="B64" s="6"/>
      <c r="C64" s="24" t="s">
        <v>327</v>
      </c>
      <c r="D64" s="24" t="s">
        <v>327</v>
      </c>
      <c r="E64" s="24" t="s">
        <v>327</v>
      </c>
      <c r="F64" s="24" t="s">
        <v>327</v>
      </c>
      <c r="G64" s="24" t="s">
        <v>327</v>
      </c>
      <c r="H64"/>
      <c r="I64"/>
    </row>
    <row r="65" spans="1:9" x14ac:dyDescent="0.2">
      <c r="A65" s="1" t="s">
        <v>873</v>
      </c>
      <c r="B65" s="6">
        <v>3111</v>
      </c>
      <c r="C65" s="95">
        <f>'DOE25'!F116</f>
        <v>2085888</v>
      </c>
      <c r="D65" s="24" t="s">
        <v>327</v>
      </c>
      <c r="E65" s="24" t="s">
        <v>327</v>
      </c>
      <c r="F65" s="24" t="s">
        <v>327</v>
      </c>
      <c r="G65" s="24" t="s">
        <v>327</v>
      </c>
      <c r="H65"/>
      <c r="I65"/>
    </row>
    <row r="66" spans="1:9" x14ac:dyDescent="0.2">
      <c r="A66" s="1" t="s">
        <v>790</v>
      </c>
      <c r="B66" s="6">
        <v>3112</v>
      </c>
      <c r="C66" s="95">
        <f>'DOE25'!F117</f>
        <v>1515831</v>
      </c>
      <c r="D66" s="24"/>
      <c r="E66" s="24"/>
      <c r="F66" s="24"/>
      <c r="G66" s="24"/>
      <c r="H66"/>
      <c r="I66"/>
    </row>
    <row r="67" spans="1:9" x14ac:dyDescent="0.2">
      <c r="A67" s="1" t="s">
        <v>874</v>
      </c>
      <c r="B67" s="6">
        <v>3119</v>
      </c>
      <c r="C67" s="95">
        <f>'DOE25'!F118</f>
        <v>1807</v>
      </c>
      <c r="D67" s="24" t="s">
        <v>327</v>
      </c>
      <c r="E67" s="24" t="s">
        <v>327</v>
      </c>
      <c r="F67" s="24" t="s">
        <v>327</v>
      </c>
      <c r="G67" s="24" t="s">
        <v>327</v>
      </c>
      <c r="H67"/>
      <c r="I67"/>
    </row>
    <row r="68" spans="1:9" ht="12" thickBot="1" x14ac:dyDescent="0.25">
      <c r="A68" s="1" t="s">
        <v>120</v>
      </c>
      <c r="B68" s="6" t="s">
        <v>33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121</v>
      </c>
      <c r="B69" s="2"/>
      <c r="C69" s="139">
        <f>SUM(C65:C68)</f>
        <v>3603526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34</v>
      </c>
      <c r="B70" s="2"/>
      <c r="C70" s="24" t="s">
        <v>327</v>
      </c>
      <c r="D70" s="24" t="s">
        <v>327</v>
      </c>
      <c r="E70" s="24" t="s">
        <v>327</v>
      </c>
      <c r="F70" s="24" t="s">
        <v>327</v>
      </c>
      <c r="G70" s="24" t="s">
        <v>327</v>
      </c>
      <c r="H70"/>
      <c r="I70"/>
    </row>
    <row r="71" spans="1:9" x14ac:dyDescent="0.2">
      <c r="A71" s="1" t="s">
        <v>122</v>
      </c>
      <c r="B71" s="6">
        <v>3210</v>
      </c>
      <c r="C71" s="95">
        <f>'DOE25'!F122</f>
        <v>141126</v>
      </c>
      <c r="D71" s="24" t="s">
        <v>327</v>
      </c>
      <c r="E71" s="24" t="s">
        <v>327</v>
      </c>
      <c r="F71" s="95">
        <f>'DOE25'!I122</f>
        <v>0</v>
      </c>
      <c r="G71" s="24" t="s">
        <v>327</v>
      </c>
      <c r="H71"/>
      <c r="I71"/>
    </row>
    <row r="72" spans="1:9" x14ac:dyDescent="0.2">
      <c r="A72" s="1" t="s">
        <v>292</v>
      </c>
      <c r="B72" s="6">
        <v>3215</v>
      </c>
      <c r="C72" s="95">
        <f>'DOE25'!F123</f>
        <v>0</v>
      </c>
      <c r="D72" s="24" t="s">
        <v>327</v>
      </c>
      <c r="E72" s="24" t="s">
        <v>327</v>
      </c>
      <c r="F72" s="95">
        <f>'DOE25'!I123</f>
        <v>0</v>
      </c>
      <c r="G72" s="24" t="s">
        <v>327</v>
      </c>
      <c r="H72"/>
      <c r="I72"/>
    </row>
    <row r="73" spans="1:9" x14ac:dyDescent="0.2">
      <c r="A73" s="1" t="s">
        <v>293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294</v>
      </c>
      <c r="B74" s="6">
        <v>3230</v>
      </c>
      <c r="C74" s="95">
        <f>'DOE25'!F125</f>
        <v>0</v>
      </c>
      <c r="D74" s="24" t="s">
        <v>327</v>
      </c>
      <c r="E74" s="24" t="s">
        <v>327</v>
      </c>
      <c r="F74" s="24" t="s">
        <v>327</v>
      </c>
      <c r="G74" s="24" t="s">
        <v>327</v>
      </c>
      <c r="H74"/>
      <c r="I74"/>
    </row>
    <row r="75" spans="1:9" x14ac:dyDescent="0.2">
      <c r="A75" s="1" t="s">
        <v>295</v>
      </c>
      <c r="B75" s="6" t="s">
        <v>35</v>
      </c>
      <c r="C75" s="95">
        <f>SUM('DOE25'!F126:F129)</f>
        <v>4696</v>
      </c>
      <c r="D75" s="24" t="s">
        <v>327</v>
      </c>
      <c r="E75" s="95">
        <f>SUM('DOE25'!H126:H129)</f>
        <v>0</v>
      </c>
      <c r="F75" s="95">
        <f>SUM('DOE25'!I126:I129)</f>
        <v>0</v>
      </c>
      <c r="G75" s="24" t="s">
        <v>327</v>
      </c>
      <c r="H75"/>
      <c r="I75"/>
    </row>
    <row r="76" spans="1:9" ht="12" thickBot="1" x14ac:dyDescent="0.25">
      <c r="A76" s="1" t="s">
        <v>296</v>
      </c>
      <c r="B76" s="6" t="s">
        <v>36</v>
      </c>
      <c r="C76" s="95">
        <f>SUM('DOE25'!F130:F134)</f>
        <v>4256</v>
      </c>
      <c r="D76" s="95">
        <f>SUM('DOE25'!G130:G134)</f>
        <v>3618</v>
      </c>
      <c r="E76" s="95">
        <f>SUM('DOE25'!H130:H134)</f>
        <v>1920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132</v>
      </c>
      <c r="B77" s="6"/>
      <c r="C77" s="130">
        <f>SUM(C71:C76)</f>
        <v>150078</v>
      </c>
      <c r="D77" s="130">
        <f>SUM(D71:D76)</f>
        <v>3618</v>
      </c>
      <c r="E77" s="130">
        <f>SUM(E71:E76)</f>
        <v>1920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467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327</v>
      </c>
      <c r="G78" s="24" t="s">
        <v>327</v>
      </c>
      <c r="H78"/>
      <c r="I78"/>
    </row>
    <row r="79" spans="1:9" ht="12" thickBot="1" x14ac:dyDescent="0.25">
      <c r="A79" s="1" t="s">
        <v>468</v>
      </c>
      <c r="B79" s="6">
        <v>3800</v>
      </c>
      <c r="C79" s="95">
        <f>'DOE25'!F137</f>
        <v>0</v>
      </c>
      <c r="D79" s="24" t="s">
        <v>327</v>
      </c>
      <c r="E79" s="95">
        <f>'DOE25'!H137</f>
        <v>0</v>
      </c>
      <c r="F79" s="24" t="s">
        <v>327</v>
      </c>
      <c r="G79" s="24" t="s">
        <v>327</v>
      </c>
      <c r="H79"/>
      <c r="I79"/>
    </row>
    <row r="80" spans="1:9" ht="12.75" thickTop="1" thickBot="1" x14ac:dyDescent="0.25">
      <c r="A80" s="29" t="s">
        <v>639</v>
      </c>
      <c r="B80" s="2"/>
      <c r="C80" s="130">
        <f>SUM(C78:C79)+C77+C69</f>
        <v>3753604</v>
      </c>
      <c r="D80" s="130">
        <f>SUM(D78:D79)+D77+D69</f>
        <v>3618</v>
      </c>
      <c r="E80" s="130">
        <f>SUM(E78:E79)+E77+E69</f>
        <v>1920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319</v>
      </c>
      <c r="D81" s="16" t="s">
        <v>320</v>
      </c>
      <c r="E81" s="16" t="s">
        <v>321</v>
      </c>
      <c r="F81" s="16" t="s">
        <v>322</v>
      </c>
      <c r="G81" s="16" t="s">
        <v>170</v>
      </c>
      <c r="H81"/>
      <c r="I81"/>
    </row>
    <row r="82" spans="1:9" x14ac:dyDescent="0.2">
      <c r="A82" s="1" t="s">
        <v>350</v>
      </c>
      <c r="B82" s="127"/>
      <c r="C82" s="24" t="s">
        <v>327</v>
      </c>
      <c r="D82" s="24" t="s">
        <v>327</v>
      </c>
      <c r="E82" s="24" t="s">
        <v>327</v>
      </c>
      <c r="F82" s="24" t="s">
        <v>327</v>
      </c>
      <c r="G82" s="24" t="s">
        <v>327</v>
      </c>
      <c r="H82"/>
      <c r="I82"/>
    </row>
    <row r="83" spans="1:9" x14ac:dyDescent="0.2">
      <c r="A83" s="128" t="s">
        <v>37</v>
      </c>
      <c r="B83" s="127"/>
      <c r="C83" s="24" t="s">
        <v>327</v>
      </c>
      <c r="D83" s="24" t="s">
        <v>327</v>
      </c>
      <c r="E83" s="24" t="s">
        <v>327</v>
      </c>
      <c r="F83" s="24" t="s">
        <v>327</v>
      </c>
      <c r="G83" s="24" t="s">
        <v>327</v>
      </c>
      <c r="H83"/>
      <c r="I83"/>
    </row>
    <row r="84" spans="1:9" x14ac:dyDescent="0.2">
      <c r="A84" t="s">
        <v>640</v>
      </c>
      <c r="B84" s="32" t="s">
        <v>38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327</v>
      </c>
      <c r="H84"/>
      <c r="I84"/>
    </row>
    <row r="85" spans="1:9" x14ac:dyDescent="0.2">
      <c r="A85" s="33" t="s">
        <v>34</v>
      </c>
      <c r="B85" s="32"/>
      <c r="C85" s="24" t="s">
        <v>327</v>
      </c>
      <c r="D85" s="24" t="s">
        <v>327</v>
      </c>
      <c r="E85" s="24" t="s">
        <v>327</v>
      </c>
      <c r="F85" s="24" t="s">
        <v>327</v>
      </c>
      <c r="G85" s="24" t="s">
        <v>327</v>
      </c>
    </row>
    <row r="86" spans="1:9" x14ac:dyDescent="0.2">
      <c r="A86" t="s">
        <v>764</v>
      </c>
      <c r="B86" s="32" t="s">
        <v>39</v>
      </c>
      <c r="C86" s="95">
        <f>SUM('DOE25'!F148:F151)</f>
        <v>0</v>
      </c>
      <c r="D86" s="24" t="s">
        <v>327</v>
      </c>
      <c r="E86" s="95">
        <f>SUM('DOE25'!H148:H151)</f>
        <v>0</v>
      </c>
      <c r="F86" s="95">
        <f>SUM('DOE25'!I148:I151)</f>
        <v>0</v>
      </c>
      <c r="G86" s="24" t="s">
        <v>327</v>
      </c>
    </row>
    <row r="87" spans="1:9" x14ac:dyDescent="0.2">
      <c r="A87" t="s">
        <v>768</v>
      </c>
      <c r="B87" s="32" t="s">
        <v>40</v>
      </c>
      <c r="C87" s="95">
        <f>SUM('DOE25'!F152:F160)</f>
        <v>107775</v>
      </c>
      <c r="D87" s="95">
        <f>SUM('DOE25'!G152:G160)</f>
        <v>68039</v>
      </c>
      <c r="E87" s="95">
        <f>SUM('DOE25'!H152:H160)</f>
        <v>380755</v>
      </c>
      <c r="F87" s="95">
        <f>SUM('DOE25'!I152:I160)</f>
        <v>0</v>
      </c>
      <c r="G87" s="24" t="s">
        <v>327</v>
      </c>
    </row>
    <row r="88" spans="1:9" x14ac:dyDescent="0.2">
      <c r="A88" t="s">
        <v>769</v>
      </c>
      <c r="B88" s="32" t="s">
        <v>41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327</v>
      </c>
    </row>
    <row r="89" spans="1:9" ht="12" thickBot="1" x14ac:dyDescent="0.25">
      <c r="A89" t="s">
        <v>647</v>
      </c>
      <c r="B89" s="32">
        <v>4810</v>
      </c>
      <c r="C89" s="95">
        <f>'DOE25'!F164</f>
        <v>0</v>
      </c>
      <c r="D89" s="24" t="s">
        <v>327</v>
      </c>
      <c r="E89" s="24" t="s">
        <v>327</v>
      </c>
      <c r="F89" s="24" t="s">
        <v>327</v>
      </c>
      <c r="G89" s="24" t="s">
        <v>327</v>
      </c>
    </row>
    <row r="90" spans="1:9" ht="12.75" thickTop="1" thickBot="1" x14ac:dyDescent="0.25">
      <c r="A90" s="33" t="s">
        <v>648</v>
      </c>
      <c r="C90" s="131">
        <f>SUM(C84:C89)</f>
        <v>107775</v>
      </c>
      <c r="D90" s="131">
        <f>SUM(D84:D89)</f>
        <v>68039</v>
      </c>
      <c r="E90" s="131">
        <f>SUM(E84:E89)</f>
        <v>380755</v>
      </c>
      <c r="F90" s="131">
        <f>SUM(F84:F89)</f>
        <v>0</v>
      </c>
      <c r="G90" s="24" t="s">
        <v>327</v>
      </c>
    </row>
    <row r="91" spans="1:9" ht="12" thickTop="1" x14ac:dyDescent="0.2">
      <c r="A91" s="33" t="s">
        <v>42</v>
      </c>
      <c r="C91" s="24" t="s">
        <v>327</v>
      </c>
      <c r="D91" s="24" t="s">
        <v>327</v>
      </c>
      <c r="E91" s="24" t="s">
        <v>327</v>
      </c>
      <c r="F91" s="24" t="s">
        <v>327</v>
      </c>
      <c r="G91" s="24" t="s">
        <v>327</v>
      </c>
    </row>
    <row r="92" spans="1:9" x14ac:dyDescent="0.2">
      <c r="A92" t="s">
        <v>649</v>
      </c>
      <c r="B92" s="32" t="s">
        <v>43</v>
      </c>
      <c r="C92" s="95">
        <f>SUM('DOE25'!F172:F174)</f>
        <v>0</v>
      </c>
      <c r="D92" s="24" t="s">
        <v>327</v>
      </c>
      <c r="E92" s="24" t="s">
        <v>327</v>
      </c>
      <c r="F92" s="95">
        <f>SUM('DOE25'!I172:I174)</f>
        <v>0</v>
      </c>
      <c r="G92" s="24" t="s">
        <v>327</v>
      </c>
    </row>
    <row r="93" spans="1:9" x14ac:dyDescent="0.2">
      <c r="A93" t="s">
        <v>650</v>
      </c>
      <c r="B93" s="32">
        <v>5140</v>
      </c>
      <c r="C93" s="95">
        <f>'DOE25'!F175</f>
        <v>0</v>
      </c>
      <c r="D93" s="24" t="s">
        <v>327</v>
      </c>
      <c r="E93" s="24" t="s">
        <v>327</v>
      </c>
      <c r="F93" s="95">
        <f>'DOE25'!I175</f>
        <v>0</v>
      </c>
      <c r="G93" s="24" t="s">
        <v>327</v>
      </c>
    </row>
    <row r="94" spans="1:9" x14ac:dyDescent="0.2">
      <c r="A94" s="33" t="s">
        <v>364</v>
      </c>
      <c r="B94" s="32"/>
      <c r="C94" s="24" t="s">
        <v>327</v>
      </c>
      <c r="D94" s="24" t="s">
        <v>327</v>
      </c>
      <c r="E94" s="24" t="s">
        <v>327</v>
      </c>
      <c r="F94" s="24" t="s">
        <v>327</v>
      </c>
      <c r="G94" s="24" t="s">
        <v>327</v>
      </c>
    </row>
    <row r="95" spans="1:9" x14ac:dyDescent="0.2">
      <c r="A95" t="s">
        <v>651</v>
      </c>
      <c r="B95" s="32">
        <v>5210</v>
      </c>
      <c r="C95" s="24" t="s">
        <v>327</v>
      </c>
      <c r="D95" s="95">
        <f>'DOE25'!G178</f>
        <v>83253</v>
      </c>
      <c r="E95" s="95">
        <f>'DOE25'!H178</f>
        <v>1887</v>
      </c>
      <c r="F95" s="95">
        <f>'DOE25'!I178</f>
        <v>0</v>
      </c>
      <c r="G95" s="95">
        <f>'DOE25'!J178</f>
        <v>50000</v>
      </c>
    </row>
    <row r="96" spans="1:9" x14ac:dyDescent="0.2">
      <c r="A96" t="s">
        <v>652</v>
      </c>
      <c r="B96" s="32" t="s">
        <v>218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653</v>
      </c>
      <c r="B97" s="32" t="s">
        <v>219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327</v>
      </c>
      <c r="G97" s="95">
        <f>'DOE25'!J181</f>
        <v>0</v>
      </c>
    </row>
    <row r="98" spans="1:7" x14ac:dyDescent="0.2">
      <c r="A98" t="s">
        <v>770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327</v>
      </c>
    </row>
    <row r="99" spans="1:7" x14ac:dyDescent="0.2">
      <c r="A99" t="s">
        <v>771</v>
      </c>
      <c r="B99" s="32" t="s">
        <v>220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327</v>
      </c>
    </row>
    <row r="100" spans="1:7" x14ac:dyDescent="0.2">
      <c r="A100" t="s">
        <v>772</v>
      </c>
      <c r="B100" s="32" t="s">
        <v>221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327</v>
      </c>
    </row>
    <row r="101" spans="1:7" ht="12" thickBot="1" x14ac:dyDescent="0.25">
      <c r="A101" t="s">
        <v>773</v>
      </c>
      <c r="B101" s="32" t="s">
        <v>222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327</v>
      </c>
    </row>
    <row r="102" spans="1:7" ht="12.75" thickTop="1" thickBot="1" x14ac:dyDescent="0.25">
      <c r="A102" s="33" t="s">
        <v>774</v>
      </c>
      <c r="C102" s="86">
        <f>SUM(C92:C101)</f>
        <v>0</v>
      </c>
      <c r="D102" s="86">
        <f>SUM(D92:D101)</f>
        <v>83253</v>
      </c>
      <c r="E102" s="86">
        <f>SUM(E92:E101)</f>
        <v>1887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872</v>
      </c>
      <c r="C103" s="86">
        <f>C62+C80+C90+C102</f>
        <v>15110116</v>
      </c>
      <c r="D103" s="86">
        <f>D62+D80+D90+D102</f>
        <v>373969</v>
      </c>
      <c r="E103" s="86">
        <f>E62+E80+E90+E102</f>
        <v>423885</v>
      </c>
      <c r="F103" s="86">
        <f>F62+F80+F90+F102</f>
        <v>0</v>
      </c>
      <c r="G103" s="86">
        <f>G62+G80+G102</f>
        <v>50738</v>
      </c>
    </row>
    <row r="104" spans="1:7" ht="12" thickTop="1" x14ac:dyDescent="0.2"/>
    <row r="105" spans="1:7" x14ac:dyDescent="0.2">
      <c r="B105" s="3"/>
      <c r="C105" s="16" t="s">
        <v>319</v>
      </c>
      <c r="D105" s="16" t="s">
        <v>320</v>
      </c>
      <c r="E105" s="16" t="s">
        <v>223</v>
      </c>
      <c r="F105" s="16" t="s">
        <v>322</v>
      </c>
      <c r="G105" s="16" t="s">
        <v>323</v>
      </c>
    </row>
    <row r="106" spans="1:7" x14ac:dyDescent="0.2">
      <c r="A106" s="29" t="s">
        <v>224</v>
      </c>
      <c r="B106" s="127"/>
      <c r="C106" s="24" t="s">
        <v>327</v>
      </c>
      <c r="D106" s="24" t="s">
        <v>327</v>
      </c>
      <c r="E106" s="24" t="s">
        <v>327</v>
      </c>
      <c r="F106" s="24" t="s">
        <v>327</v>
      </c>
      <c r="G106" s="24" t="s">
        <v>327</v>
      </c>
    </row>
    <row r="107" spans="1:7" x14ac:dyDescent="0.2">
      <c r="A107" s="128" t="s">
        <v>48</v>
      </c>
      <c r="B107" s="127"/>
      <c r="C107" s="24" t="s">
        <v>327</v>
      </c>
      <c r="D107" s="24" t="s">
        <v>327</v>
      </c>
      <c r="E107" s="24" t="s">
        <v>327</v>
      </c>
      <c r="F107" s="24" t="s">
        <v>327</v>
      </c>
      <c r="G107" s="24" t="s">
        <v>327</v>
      </c>
    </row>
    <row r="108" spans="1:7" x14ac:dyDescent="0.2">
      <c r="A108" t="s">
        <v>49</v>
      </c>
      <c r="B108" s="32" t="s">
        <v>50</v>
      </c>
      <c r="C108" s="95">
        <f>('DOE25'!L196)+('DOE25'!L214)+('DOE25'!L232)</f>
        <v>6535459</v>
      </c>
      <c r="D108" s="24" t="s">
        <v>327</v>
      </c>
      <c r="E108" s="95">
        <f>('DOE25'!L275)+('DOE25'!L294)+('DOE25'!L313)</f>
        <v>136489</v>
      </c>
      <c r="F108" s="24" t="s">
        <v>327</v>
      </c>
      <c r="G108" s="24" t="s">
        <v>327</v>
      </c>
    </row>
    <row r="109" spans="1:7" x14ac:dyDescent="0.2">
      <c r="A109" t="s">
        <v>51</v>
      </c>
      <c r="B109" s="32" t="s">
        <v>390</v>
      </c>
      <c r="C109" s="95">
        <f>('DOE25'!L197)+('DOE25'!L215)+('DOE25'!L233)</f>
        <v>2328966</v>
      </c>
      <c r="D109" s="24" t="s">
        <v>327</v>
      </c>
      <c r="E109" s="95">
        <f>('DOE25'!L276)+('DOE25'!L295)+('DOE25'!L314)</f>
        <v>198977</v>
      </c>
      <c r="F109" s="24" t="s">
        <v>327</v>
      </c>
      <c r="G109" s="24" t="s">
        <v>327</v>
      </c>
    </row>
    <row r="110" spans="1:7" x14ac:dyDescent="0.2">
      <c r="A110" t="s">
        <v>391</v>
      </c>
      <c r="B110" s="32" t="s">
        <v>75</v>
      </c>
      <c r="C110" s="95">
        <f>('DOE25'!L198)+('DOE25'!L216)+('DOE25'!L234)</f>
        <v>12828</v>
      </c>
      <c r="D110" s="24" t="s">
        <v>327</v>
      </c>
      <c r="E110" s="95">
        <f>('DOE25'!L277)+('DOE25'!L296)+('DOE25'!L315)</f>
        <v>0</v>
      </c>
      <c r="F110" s="24" t="s">
        <v>327</v>
      </c>
      <c r="G110" s="24" t="s">
        <v>327</v>
      </c>
    </row>
    <row r="111" spans="1:7" x14ac:dyDescent="0.2">
      <c r="A111" t="s">
        <v>392</v>
      </c>
      <c r="B111" s="32" t="s">
        <v>188</v>
      </c>
      <c r="C111" s="95">
        <f>('DOE25'!L199)+('DOE25'!L217)+('DOE25'!L235)</f>
        <v>299817</v>
      </c>
      <c r="D111" s="24" t="s">
        <v>327</v>
      </c>
      <c r="E111" s="95">
        <f>+('DOE25'!L278)+('DOE25'!L297)+('DOE25'!L316)</f>
        <v>840</v>
      </c>
      <c r="F111" s="24" t="s">
        <v>327</v>
      </c>
      <c r="G111" s="24" t="s">
        <v>327</v>
      </c>
    </row>
    <row r="112" spans="1:7" x14ac:dyDescent="0.2">
      <c r="A112" t="s">
        <v>393</v>
      </c>
      <c r="B112" s="32" t="s">
        <v>190</v>
      </c>
      <c r="C112" s="95">
        <f>'DOE25'!L249</f>
        <v>0</v>
      </c>
      <c r="D112" s="24" t="s">
        <v>327</v>
      </c>
      <c r="E112" s="95">
        <f>+'DOE25'!L331</f>
        <v>0</v>
      </c>
      <c r="F112" s="24" t="s">
        <v>327</v>
      </c>
      <c r="G112" s="24" t="s">
        <v>327</v>
      </c>
    </row>
    <row r="113" spans="1:7" ht="12" thickBot="1" x14ac:dyDescent="0.25">
      <c r="A113" t="s">
        <v>394</v>
      </c>
      <c r="B113" s="32" t="s">
        <v>395</v>
      </c>
      <c r="C113" s="95">
        <f>SUM('DOE25'!L250:L252)</f>
        <v>0</v>
      </c>
      <c r="D113" s="24" t="s">
        <v>327</v>
      </c>
      <c r="E113" s="95">
        <f>+ SUM('DOE25'!L332:L334)</f>
        <v>0</v>
      </c>
      <c r="F113" s="24" t="s">
        <v>327</v>
      </c>
      <c r="G113" s="24" t="s">
        <v>327</v>
      </c>
    </row>
    <row r="114" spans="1:7" ht="12.75" thickTop="1" thickBot="1" x14ac:dyDescent="0.25">
      <c r="A114" s="33" t="s">
        <v>396</v>
      </c>
      <c r="C114" s="86">
        <f>SUM(C108:C113)</f>
        <v>9177070</v>
      </c>
      <c r="D114" s="86">
        <f>SUM(D108:D113)</f>
        <v>0</v>
      </c>
      <c r="E114" s="86">
        <f>SUM(E108:E113)</f>
        <v>336306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327</v>
      </c>
      <c r="D115" s="24" t="s">
        <v>327</v>
      </c>
      <c r="E115" s="24" t="s">
        <v>327</v>
      </c>
      <c r="F115" s="24" t="s">
        <v>327</v>
      </c>
      <c r="G115" s="24" t="s">
        <v>327</v>
      </c>
    </row>
    <row r="116" spans="1:7" x14ac:dyDescent="0.2">
      <c r="A116" s="33" t="s">
        <v>203</v>
      </c>
      <c r="C116" s="24" t="s">
        <v>327</v>
      </c>
      <c r="D116" s="24" t="s">
        <v>327</v>
      </c>
      <c r="E116" s="24" t="s">
        <v>327</v>
      </c>
      <c r="F116" s="24" t="s">
        <v>327</v>
      </c>
      <c r="G116" s="24" t="s">
        <v>327</v>
      </c>
    </row>
    <row r="117" spans="1:7" x14ac:dyDescent="0.2">
      <c r="A117" t="s">
        <v>397</v>
      </c>
      <c r="B117" s="32" t="s">
        <v>238</v>
      </c>
      <c r="C117" s="95">
        <f>('DOE25'!L201)+('DOE25'!L219)+('DOE25'!L237)</f>
        <v>1183520</v>
      </c>
      <c r="D117" s="24" t="s">
        <v>327</v>
      </c>
      <c r="E117" s="95">
        <f>+('DOE25'!L280)+('DOE25'!L299)+('DOE25'!L318)</f>
        <v>1801</v>
      </c>
      <c r="F117" s="24" t="s">
        <v>327</v>
      </c>
      <c r="G117" s="24" t="s">
        <v>327</v>
      </c>
    </row>
    <row r="118" spans="1:7" x14ac:dyDescent="0.2">
      <c r="A118" t="s">
        <v>239</v>
      </c>
      <c r="B118" s="32" t="s">
        <v>240</v>
      </c>
      <c r="C118" s="95">
        <f>('DOE25'!L202)+('DOE25'!L220)+('DOE25'!L238)</f>
        <v>815417</v>
      </c>
      <c r="D118" s="24" t="s">
        <v>327</v>
      </c>
      <c r="E118" s="95">
        <f>+('DOE25'!L281)+('DOE25'!L300)+('DOE25'!L319)</f>
        <v>51581</v>
      </c>
      <c r="F118" s="24" t="s">
        <v>327</v>
      </c>
      <c r="G118" s="24" t="s">
        <v>327</v>
      </c>
    </row>
    <row r="119" spans="1:7" x14ac:dyDescent="0.2">
      <c r="A119" t="s">
        <v>241</v>
      </c>
      <c r="B119" s="32" t="s">
        <v>242</v>
      </c>
      <c r="C119" s="95">
        <f>('DOE25'!L203)+('DOE25'!L221)+('DOE25'!L239)</f>
        <v>540434</v>
      </c>
      <c r="D119" s="24" t="s">
        <v>327</v>
      </c>
      <c r="E119" s="95">
        <f>+('DOE25'!L282)+('DOE25'!L301)+('DOE25'!L320)</f>
        <v>2299</v>
      </c>
      <c r="F119" s="24" t="s">
        <v>327</v>
      </c>
      <c r="G119" s="24" t="s">
        <v>327</v>
      </c>
    </row>
    <row r="120" spans="1:7" x14ac:dyDescent="0.2">
      <c r="A120" t="s">
        <v>243</v>
      </c>
      <c r="B120" s="32" t="s">
        <v>244</v>
      </c>
      <c r="C120" s="95">
        <f>('DOE25'!L204)+('DOE25'!L222)+('DOE25'!L240)</f>
        <v>783095</v>
      </c>
      <c r="D120" s="24" t="s">
        <v>327</v>
      </c>
      <c r="E120" s="95">
        <f>+('DOE25'!L283)+('DOE25'!L302)+('DOE25'!L321)</f>
        <v>0</v>
      </c>
      <c r="F120" s="24" t="s">
        <v>327</v>
      </c>
      <c r="G120" s="24" t="s">
        <v>327</v>
      </c>
    </row>
    <row r="121" spans="1:7" x14ac:dyDescent="0.2">
      <c r="A121" t="s">
        <v>245</v>
      </c>
      <c r="B121" s="32" t="s">
        <v>246</v>
      </c>
      <c r="C121" s="95">
        <f>('DOE25'!L205)+('DOE25'!L223)+('DOE25'!L241)</f>
        <v>239184</v>
      </c>
      <c r="D121" s="24" t="s">
        <v>327</v>
      </c>
      <c r="E121" s="95">
        <f>+('DOE25'!L284)+('DOE25'!L303)+('DOE25'!L322)</f>
        <v>0</v>
      </c>
      <c r="F121" s="24" t="s">
        <v>327</v>
      </c>
      <c r="G121" s="24" t="s">
        <v>327</v>
      </c>
    </row>
    <row r="122" spans="1:7" x14ac:dyDescent="0.2">
      <c r="A122" t="s">
        <v>247</v>
      </c>
      <c r="B122" s="32" t="s">
        <v>248</v>
      </c>
      <c r="C122" s="95">
        <f>('DOE25'!L206)+('DOE25'!L224)+('DOE25'!L242)</f>
        <v>1102183</v>
      </c>
      <c r="D122" s="24" t="s">
        <v>327</v>
      </c>
      <c r="E122" s="95">
        <f>+('DOE25'!L285)+('DOE25'!L304)+('DOE25'!L323)</f>
        <v>0</v>
      </c>
      <c r="F122" s="24" t="s">
        <v>327</v>
      </c>
      <c r="G122" s="24" t="s">
        <v>327</v>
      </c>
    </row>
    <row r="123" spans="1:7" x14ac:dyDescent="0.2">
      <c r="A123" t="s">
        <v>249</v>
      </c>
      <c r="B123" s="32" t="s">
        <v>250</v>
      </c>
      <c r="C123" s="95">
        <f>('DOE25'!L207)+('DOE25'!L225)+('DOE25'!L243+'DOE25'!L253)</f>
        <v>563633</v>
      </c>
      <c r="D123" s="24" t="s">
        <v>327</v>
      </c>
      <c r="E123" s="95">
        <f>+('DOE25'!L286)+('DOE25'!L305)+('DOE25'!L324)</f>
        <v>26498</v>
      </c>
      <c r="F123" s="24" t="s">
        <v>327</v>
      </c>
      <c r="G123" s="24" t="s">
        <v>327</v>
      </c>
    </row>
    <row r="124" spans="1:7" x14ac:dyDescent="0.2">
      <c r="A124" t="s">
        <v>251</v>
      </c>
      <c r="B124" s="32" t="s">
        <v>252</v>
      </c>
      <c r="C124" s="95">
        <f>('DOE25'!L208)+('DOE25'!L226)+('DOE25'!L244)</f>
        <v>0</v>
      </c>
      <c r="D124" s="24" t="s">
        <v>327</v>
      </c>
      <c r="E124" s="95">
        <f>+('DOE25'!L287)+('DOE25'!L306)+('DOE25'!L325)</f>
        <v>0</v>
      </c>
      <c r="F124" s="24" t="s">
        <v>327</v>
      </c>
      <c r="G124" s="24" t="s">
        <v>327</v>
      </c>
    </row>
    <row r="125" spans="1:7" x14ac:dyDescent="0.2">
      <c r="A125" t="s">
        <v>253</v>
      </c>
      <c r="B125" s="32" t="s">
        <v>254</v>
      </c>
      <c r="C125" s="24" t="s">
        <v>327</v>
      </c>
      <c r="D125" s="24" t="s">
        <v>327</v>
      </c>
      <c r="E125" s="24" t="s">
        <v>327</v>
      </c>
      <c r="F125" s="24" t="s">
        <v>327</v>
      </c>
      <c r="G125" s="24" t="s">
        <v>327</v>
      </c>
    </row>
    <row r="126" spans="1:7" ht="12" thickBot="1" x14ac:dyDescent="0.25">
      <c r="A126" t="s">
        <v>255</v>
      </c>
      <c r="B126" s="32" t="s">
        <v>256</v>
      </c>
      <c r="C126" s="24" t="s">
        <v>327</v>
      </c>
      <c r="D126" s="95">
        <f>('DOE25'!L357)+('DOE25'!L358)+('DOE25'!L359)</f>
        <v>373969</v>
      </c>
      <c r="E126" s="24" t="s">
        <v>327</v>
      </c>
      <c r="F126" s="24" t="s">
        <v>327</v>
      </c>
      <c r="G126" s="24" t="s">
        <v>327</v>
      </c>
    </row>
    <row r="127" spans="1:7" ht="12.75" thickTop="1" thickBot="1" x14ac:dyDescent="0.25">
      <c r="A127" s="33" t="s">
        <v>84</v>
      </c>
      <c r="C127" s="86">
        <f>SUM(C117:C126)</f>
        <v>5227466</v>
      </c>
      <c r="D127" s="86">
        <f>SUM(D117:D126)</f>
        <v>373969</v>
      </c>
      <c r="E127" s="86">
        <f>SUM(E117:E126)</f>
        <v>82179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382</v>
      </c>
      <c r="C128" s="24" t="s">
        <v>327</v>
      </c>
      <c r="D128" s="24" t="s">
        <v>327</v>
      </c>
      <c r="E128" s="24" t="s">
        <v>327</v>
      </c>
      <c r="F128" s="24" t="s">
        <v>327</v>
      </c>
      <c r="G128" s="24" t="s">
        <v>327</v>
      </c>
    </row>
    <row r="129" spans="1:7" x14ac:dyDescent="0.2">
      <c r="A129" t="s">
        <v>85</v>
      </c>
      <c r="B129" s="32" t="s">
        <v>86</v>
      </c>
      <c r="C129" s="95">
        <f>'DOE25'!L254</f>
        <v>0</v>
      </c>
      <c r="D129" s="24" t="s">
        <v>327</v>
      </c>
      <c r="E129" s="129">
        <f>'DOE25'!L335</f>
        <v>5400</v>
      </c>
      <c r="F129" s="129">
        <f>SUM('DOE25'!L373:'DOE25'!L379)</f>
        <v>0</v>
      </c>
      <c r="G129" s="24" t="s">
        <v>327</v>
      </c>
    </row>
    <row r="130" spans="1:7" x14ac:dyDescent="0.2">
      <c r="A130" t="s">
        <v>87</v>
      </c>
      <c r="B130" s="32">
        <v>5110</v>
      </c>
      <c r="C130" s="95">
        <f>'DOE25'!L259</f>
        <v>415000</v>
      </c>
      <c r="D130" s="24" t="s">
        <v>327</v>
      </c>
      <c r="E130" s="129">
        <f>'DOE25'!L340</f>
        <v>0</v>
      </c>
      <c r="F130" s="24" t="s">
        <v>327</v>
      </c>
      <c r="G130" s="24" t="s">
        <v>327</v>
      </c>
    </row>
    <row r="131" spans="1:7" x14ac:dyDescent="0.2">
      <c r="A131" t="s">
        <v>261</v>
      </c>
      <c r="B131" s="32">
        <v>5120</v>
      </c>
      <c r="C131" s="95">
        <f>'DOE25'!L260</f>
        <v>131025</v>
      </c>
      <c r="D131" s="24" t="s">
        <v>327</v>
      </c>
      <c r="E131" s="129">
        <f>'DOE25'!L341</f>
        <v>0</v>
      </c>
      <c r="F131" s="24" t="s">
        <v>327</v>
      </c>
      <c r="G131" s="24" t="s">
        <v>327</v>
      </c>
    </row>
    <row r="132" spans="1:7" x14ac:dyDescent="0.2">
      <c r="A132" s="33" t="s">
        <v>262</v>
      </c>
      <c r="C132" s="24" t="s">
        <v>327</v>
      </c>
      <c r="D132" s="24" t="s">
        <v>327</v>
      </c>
      <c r="E132" s="24" t="s">
        <v>327</v>
      </c>
      <c r="F132" s="24" t="s">
        <v>327</v>
      </c>
      <c r="G132" s="24" t="s">
        <v>327</v>
      </c>
    </row>
    <row r="133" spans="1:7" x14ac:dyDescent="0.2">
      <c r="A133" t="s">
        <v>263</v>
      </c>
      <c r="B133" s="32">
        <v>5210</v>
      </c>
      <c r="C133" s="24" t="s">
        <v>327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264</v>
      </c>
      <c r="B134" s="32" t="s">
        <v>265</v>
      </c>
      <c r="C134" s="95">
        <f>'DOE25'!L262</f>
        <v>83253</v>
      </c>
      <c r="D134" s="24" t="s">
        <v>327</v>
      </c>
      <c r="E134" s="129">
        <f>'DOE25'!L344</f>
        <v>0</v>
      </c>
      <c r="F134" s="24" t="s">
        <v>327</v>
      </c>
      <c r="G134" s="24" t="s">
        <v>327</v>
      </c>
    </row>
    <row r="135" spans="1:7" x14ac:dyDescent="0.2">
      <c r="A135" t="s">
        <v>266</v>
      </c>
      <c r="B135" s="32" t="s">
        <v>267</v>
      </c>
      <c r="C135" s="95">
        <f>'DOE25'!L263</f>
        <v>1887</v>
      </c>
      <c r="D135" s="24" t="s">
        <v>327</v>
      </c>
      <c r="E135" s="24" t="s">
        <v>327</v>
      </c>
      <c r="F135" s="24" t="s">
        <v>327</v>
      </c>
      <c r="G135" s="24" t="s">
        <v>327</v>
      </c>
    </row>
    <row r="136" spans="1:7" x14ac:dyDescent="0.2">
      <c r="A136" t="s">
        <v>268</v>
      </c>
      <c r="B136" s="32" t="s">
        <v>219</v>
      </c>
      <c r="C136" s="95">
        <f>'DOE25'!L264</f>
        <v>0</v>
      </c>
      <c r="D136" s="24" t="s">
        <v>327</v>
      </c>
      <c r="E136" s="129">
        <f>'DOE25'!L345</f>
        <v>0</v>
      </c>
      <c r="F136" s="24" t="s">
        <v>327</v>
      </c>
      <c r="G136" s="24" t="s">
        <v>327</v>
      </c>
    </row>
    <row r="137" spans="1:7" x14ac:dyDescent="0.2">
      <c r="A137" t="s">
        <v>269</v>
      </c>
      <c r="B137" s="32">
        <v>5251</v>
      </c>
      <c r="C137" s="95">
        <f>'DOE25'!L392</f>
        <v>25166</v>
      </c>
      <c r="D137" s="24" t="s">
        <v>327</v>
      </c>
      <c r="E137" s="24" t="s">
        <v>327</v>
      </c>
      <c r="F137" s="24" t="s">
        <v>327</v>
      </c>
      <c r="G137" s="24" t="s">
        <v>327</v>
      </c>
    </row>
    <row r="138" spans="1:7" x14ac:dyDescent="0.2">
      <c r="A138" t="s">
        <v>271</v>
      </c>
      <c r="B138" s="32">
        <v>5252</v>
      </c>
      <c r="C138" s="95">
        <f>'DOE25'!L400</f>
        <v>25572</v>
      </c>
      <c r="D138" s="24" t="s">
        <v>327</v>
      </c>
      <c r="E138" s="24" t="s">
        <v>327</v>
      </c>
      <c r="F138" s="24" t="s">
        <v>327</v>
      </c>
      <c r="G138" s="24" t="s">
        <v>327</v>
      </c>
    </row>
    <row r="139" spans="1:7" x14ac:dyDescent="0.2">
      <c r="A139" t="s">
        <v>272</v>
      </c>
      <c r="B139" s="32">
        <v>5253</v>
      </c>
      <c r="C139" s="95">
        <f>'DOE25'!L406</f>
        <v>0</v>
      </c>
      <c r="D139" s="24" t="s">
        <v>327</v>
      </c>
      <c r="E139" s="24" t="s">
        <v>327</v>
      </c>
      <c r="F139" s="24" t="s">
        <v>327</v>
      </c>
      <c r="G139" s="24" t="s">
        <v>327</v>
      </c>
    </row>
    <row r="140" spans="1:7" x14ac:dyDescent="0.2">
      <c r="A140" t="s">
        <v>782</v>
      </c>
      <c r="B140" s="32">
        <v>5254</v>
      </c>
      <c r="C140" s="95">
        <f>('DOE25'!L265+'DOE25'!K346) - (C137+C138+C139)</f>
        <v>-738</v>
      </c>
      <c r="D140" s="24" t="s">
        <v>327</v>
      </c>
      <c r="E140" s="24" t="s">
        <v>327</v>
      </c>
      <c r="F140" s="24" t="s">
        <v>327</v>
      </c>
      <c r="G140" s="24" t="s">
        <v>327</v>
      </c>
    </row>
    <row r="141" spans="1:7" x14ac:dyDescent="0.2">
      <c r="A141" t="s">
        <v>273</v>
      </c>
      <c r="B141" s="32">
        <v>5310</v>
      </c>
      <c r="C141" s="129">
        <f>'DOE25'!L267</f>
        <v>0</v>
      </c>
      <c r="D141" s="24" t="s">
        <v>327</v>
      </c>
      <c r="E141" s="129">
        <f>'DOE25'!L348</f>
        <v>0</v>
      </c>
      <c r="F141" s="24" t="s">
        <v>327</v>
      </c>
      <c r="G141" s="24" t="s">
        <v>327</v>
      </c>
    </row>
    <row r="142" spans="1:7" ht="12" thickBot="1" x14ac:dyDescent="0.25">
      <c r="A142" t="s">
        <v>274</v>
      </c>
      <c r="B142" s="32">
        <v>5390</v>
      </c>
      <c r="C142" s="129">
        <f>'DOE25'!L268</f>
        <v>0</v>
      </c>
      <c r="D142" s="24" t="s">
        <v>327</v>
      </c>
      <c r="E142" s="129">
        <f>'DOE25'!L349</f>
        <v>0</v>
      </c>
      <c r="F142" s="24" t="s">
        <v>327</v>
      </c>
      <c r="G142" s="24" t="s">
        <v>327</v>
      </c>
    </row>
    <row r="143" spans="1:7" ht="12" thickBot="1" x14ac:dyDescent="0.25">
      <c r="A143" s="33" t="s">
        <v>110</v>
      </c>
      <c r="C143" s="141">
        <f>SUM(C129:C142)</f>
        <v>681165</v>
      </c>
      <c r="D143" s="141">
        <f>SUM(D129:D142)</f>
        <v>0</v>
      </c>
      <c r="E143" s="141">
        <f>SUM(E129:E142)</f>
        <v>5400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113</v>
      </c>
      <c r="C144" s="86">
        <f>(C114+C127+C143)</f>
        <v>15085701</v>
      </c>
      <c r="D144" s="86">
        <f>(D114+D127+D143)</f>
        <v>373969</v>
      </c>
      <c r="E144" s="86">
        <f>(E114+E127+E143)</f>
        <v>423885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114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54</v>
      </c>
      <c r="B148" s="32" t="s">
        <v>472</v>
      </c>
      <c r="C148" s="32" t="s">
        <v>473</v>
      </c>
      <c r="D148" s="32" t="s">
        <v>474</v>
      </c>
      <c r="E148" s="32" t="s">
        <v>475</v>
      </c>
      <c r="F148" s="32" t="s">
        <v>476</v>
      </c>
      <c r="G148" s="32" t="s">
        <v>477</v>
      </c>
      <c r="H148" s="116"/>
      <c r="I148" s="116"/>
    </row>
    <row r="149" spans="1:9" x14ac:dyDescent="0.2">
      <c r="A149" s="135" t="s">
        <v>55</v>
      </c>
      <c r="B149" s="32" t="s">
        <v>56</v>
      </c>
      <c r="C149" s="32" t="s">
        <v>57</v>
      </c>
      <c r="D149" s="32" t="s">
        <v>226</v>
      </c>
      <c r="E149" s="32" t="s">
        <v>227</v>
      </c>
      <c r="F149" s="32" t="s">
        <v>228</v>
      </c>
      <c r="G149" s="32" t="s">
        <v>201</v>
      </c>
    </row>
    <row r="150" spans="1:9" x14ac:dyDescent="0.2">
      <c r="A150" s="136" t="s">
        <v>229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327</v>
      </c>
    </row>
    <row r="151" spans="1:9" x14ac:dyDescent="0.2">
      <c r="A151" s="136" t="s">
        <v>230</v>
      </c>
      <c r="B151" s="152" t="str">
        <f>'DOE25'!F490</f>
        <v>5/07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327</v>
      </c>
    </row>
    <row r="152" spans="1:9" x14ac:dyDescent="0.2">
      <c r="A152" s="136" t="s">
        <v>231</v>
      </c>
      <c r="B152" s="152" t="str">
        <f>'DOE25'!F491</f>
        <v>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327</v>
      </c>
    </row>
    <row r="153" spans="1:9" x14ac:dyDescent="0.2">
      <c r="A153" s="136" t="s">
        <v>232</v>
      </c>
      <c r="B153" s="137">
        <f>'DOE25'!F492</f>
        <v>4745000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327</v>
      </c>
    </row>
    <row r="154" spans="1:9" x14ac:dyDescent="0.2">
      <c r="A154" s="136" t="s">
        <v>233</v>
      </c>
      <c r="B154" s="137" t="str">
        <f>'DOE25'!F493</f>
        <v>3.5 - 5.0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327</v>
      </c>
    </row>
    <row r="155" spans="1:9" x14ac:dyDescent="0.2">
      <c r="A155" s="22" t="s">
        <v>234</v>
      </c>
      <c r="B155" s="137">
        <f>'DOE25'!F494</f>
        <v>3300000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3300000</v>
      </c>
    </row>
    <row r="156" spans="1:9" x14ac:dyDescent="0.2">
      <c r="A156" s="22" t="s">
        <v>235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236</v>
      </c>
      <c r="B157" s="137">
        <f>'DOE25'!F496</f>
        <v>415000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415000</v>
      </c>
    </row>
    <row r="158" spans="1:9" x14ac:dyDescent="0.2">
      <c r="A158" s="22" t="s">
        <v>237</v>
      </c>
      <c r="B158" s="137">
        <f>'DOE25'!F497</f>
        <v>2885000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2885000</v>
      </c>
    </row>
    <row r="159" spans="1:9" x14ac:dyDescent="0.2">
      <c r="A159" s="22" t="s">
        <v>11</v>
      </c>
      <c r="B159" s="137">
        <f>'DOE25'!F498</f>
        <v>399963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399963</v>
      </c>
    </row>
    <row r="160" spans="1:9" x14ac:dyDescent="0.2">
      <c r="A160" s="22" t="s">
        <v>12</v>
      </c>
      <c r="B160" s="137">
        <f>'DOE25'!F499</f>
        <v>3284963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3284963</v>
      </c>
    </row>
    <row r="161" spans="1:7" x14ac:dyDescent="0.2">
      <c r="A161" s="22" t="s">
        <v>13</v>
      </c>
      <c r="B161" s="137">
        <f>'DOE25'!F500</f>
        <v>430000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430000</v>
      </c>
    </row>
    <row r="162" spans="1:7" x14ac:dyDescent="0.2">
      <c r="A162" s="22" t="s">
        <v>14</v>
      </c>
      <c r="B162" s="137">
        <f>'DOE25'!F501</f>
        <v>114413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114413</v>
      </c>
    </row>
    <row r="163" spans="1:7" x14ac:dyDescent="0.2">
      <c r="A163" s="22" t="s">
        <v>115</v>
      </c>
      <c r="B163" s="137">
        <f>'DOE25'!F502</f>
        <v>544413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544413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60" orientation="portrait" horizontalDpi="4294967292" verticalDpi="4294967292"/>
  <headerFooter alignWithMargins="0">
    <oddHeader>&amp;C&amp;A
2011-2012</oddHeader>
    <oddFooter>&amp;CPage &amp;P&amp;R&amp;D&amp;T</oddFooter>
  </headerFooter>
  <rowBreaks count="3" manualBreakCount="3">
    <brk id="50" max="16383" man="1"/>
    <brk id="104" max="16383" man="1"/>
    <brk id="145" max="16383" man="1"/>
  </rowBreaks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8" zoomScale="150" workbookViewId="0">
      <selection activeCell="C46" sqref="C46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754</v>
      </c>
      <c r="B1" s="279"/>
      <c r="C1" s="279"/>
      <c r="D1" s="279"/>
    </row>
    <row r="2" spans="1:4" x14ac:dyDescent="0.2">
      <c r="A2" s="187" t="s">
        <v>736</v>
      </c>
      <c r="B2" s="186" t="str">
        <f>'DOE25'!A2</f>
        <v>HOPKINTON SCHOOL DISTRICT</v>
      </c>
    </row>
    <row r="3" spans="1:4" x14ac:dyDescent="0.2">
      <c r="B3" s="188" t="s">
        <v>855</v>
      </c>
    </row>
    <row r="4" spans="1:4" x14ac:dyDescent="0.2">
      <c r="B4" t="s">
        <v>143</v>
      </c>
      <c r="C4" s="179">
        <f>IF('DOE25'!F664+'DOE25'!F669=0,0,ROUND('DOE25'!F671,0))</f>
        <v>15196</v>
      </c>
    </row>
    <row r="5" spans="1:4" x14ac:dyDescent="0.2">
      <c r="B5" t="s">
        <v>722</v>
      </c>
      <c r="C5" s="179">
        <f>IF('DOE25'!G664+'DOE25'!G669=0,0,ROUND('DOE25'!G671,0))</f>
        <v>17024</v>
      </c>
    </row>
    <row r="6" spans="1:4" x14ac:dyDescent="0.2">
      <c r="B6" t="s">
        <v>144</v>
      </c>
      <c r="C6" s="179">
        <f>IF('DOE25'!H664+'DOE25'!H669=0,0,ROUND('DOE25'!H671,0))</f>
        <v>15560</v>
      </c>
    </row>
    <row r="7" spans="1:4" x14ac:dyDescent="0.2">
      <c r="B7" t="s">
        <v>723</v>
      </c>
      <c r="C7" s="179">
        <f>IF('DOE25'!I664+'DOE25'!I669=0,0,ROUND('DOE25'!I671,0))</f>
        <v>15623</v>
      </c>
    </row>
    <row r="9" spans="1:4" x14ac:dyDescent="0.2">
      <c r="A9" s="187" t="s">
        <v>68</v>
      </c>
      <c r="B9" s="188" t="s">
        <v>854</v>
      </c>
      <c r="C9" s="181" t="s">
        <v>743</v>
      </c>
      <c r="D9" s="181" t="s">
        <v>744</v>
      </c>
    </row>
    <row r="10" spans="1:4" x14ac:dyDescent="0.2">
      <c r="A10">
        <v>1100</v>
      </c>
      <c r="B10" t="s">
        <v>606</v>
      </c>
      <c r="C10" s="179">
        <f>ROUND('DOE25'!L196+'DOE25'!L214+'DOE25'!L232+'DOE25'!L275+'DOE25'!L294+'DOE25'!L313,0)</f>
        <v>6671948</v>
      </c>
      <c r="D10" s="182">
        <f>ROUND((C10/$C$28)*100,1)</f>
        <v>44.2</v>
      </c>
    </row>
    <row r="11" spans="1:4" x14ac:dyDescent="0.2">
      <c r="A11">
        <v>1200</v>
      </c>
      <c r="B11" t="s">
        <v>841</v>
      </c>
      <c r="C11" s="179">
        <f>ROUND('DOE25'!L197+'DOE25'!L215+'DOE25'!L233+'DOE25'!L276+'DOE25'!L295+'DOE25'!L314,0)</f>
        <v>2527943</v>
      </c>
      <c r="D11" s="182">
        <f>ROUND((C11/$C$28)*100,1)</f>
        <v>16.7</v>
      </c>
    </row>
    <row r="12" spans="1:4" x14ac:dyDescent="0.2">
      <c r="A12">
        <v>1300</v>
      </c>
      <c r="B12" t="s">
        <v>842</v>
      </c>
      <c r="C12" s="179">
        <f>ROUND('DOE25'!L198+'DOE25'!L216+'DOE25'!L234+'DOE25'!L277+'DOE25'!L296+'DOE25'!L315,0)</f>
        <v>12828</v>
      </c>
      <c r="D12" s="182">
        <f>ROUND((C12/$C$28)*100,1)</f>
        <v>0.1</v>
      </c>
    </row>
    <row r="13" spans="1:4" x14ac:dyDescent="0.2">
      <c r="A13">
        <v>1400</v>
      </c>
      <c r="B13" t="s">
        <v>728</v>
      </c>
      <c r="C13" s="179">
        <f>ROUND('DOE25'!L199+'DOE25'!L217+'DOE25'!L235+'DOE25'!L278+'DOE25'!L297+'DOE25'!L316,0)</f>
        <v>300657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729</v>
      </c>
      <c r="C15" s="179">
        <f>ROUND('DOE25'!L201+'DOE25'!L219+'DOE25'!L237+'DOE25'!L280+'DOE25'!L299+'DOE25'!L318,0)</f>
        <v>1185321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730</v>
      </c>
      <c r="C16" s="179">
        <f>ROUND('DOE25'!L202+'DOE25'!L220+'DOE25'!L238+'DOE25'!L281+'DOE25'!L300+'DOE25'!L319,0)</f>
        <v>866998</v>
      </c>
      <c r="D16" s="182">
        <f t="shared" si="0"/>
        <v>5.7</v>
      </c>
    </row>
    <row r="17" spans="1:4" x14ac:dyDescent="0.2">
      <c r="A17" s="183" t="s">
        <v>846</v>
      </c>
      <c r="B17" t="s">
        <v>756</v>
      </c>
      <c r="C17" s="179">
        <f>ROUND('DOE25'!L203+'DOE25'!L208+'DOE25'!L221+'DOE25'!L226+'DOE25'!L239+'DOE25'!L244+'DOE25'!L282+'DOE25'!L287+'DOE25'!L301+'DOE25'!L306+'DOE25'!L320+'DOE25'!L325,0)</f>
        <v>542733</v>
      </c>
      <c r="D17" s="182">
        <f t="shared" si="0"/>
        <v>3.6</v>
      </c>
    </row>
    <row r="18" spans="1:4" x14ac:dyDescent="0.2">
      <c r="A18">
        <v>2400</v>
      </c>
      <c r="B18" t="s">
        <v>734</v>
      </c>
      <c r="C18" s="179">
        <f>ROUND('DOE25'!L204+'DOE25'!L222+'DOE25'!L240+'DOE25'!L283+'DOE25'!L302+'DOE25'!L321,0)</f>
        <v>783095</v>
      </c>
      <c r="D18" s="182">
        <f t="shared" si="0"/>
        <v>5.2</v>
      </c>
    </row>
    <row r="19" spans="1:4" x14ac:dyDescent="0.2">
      <c r="A19">
        <v>2500</v>
      </c>
      <c r="B19" t="s">
        <v>731</v>
      </c>
      <c r="C19" s="179">
        <f>ROUND('DOE25'!L205+'DOE25'!L223+'DOE25'!L241+'DOE25'!L284+'DOE25'!L303+'DOE25'!L322,0)</f>
        <v>239184</v>
      </c>
      <c r="D19" s="182">
        <f t="shared" si="0"/>
        <v>1.6</v>
      </c>
    </row>
    <row r="20" spans="1:4" x14ac:dyDescent="0.2">
      <c r="A20">
        <v>2600</v>
      </c>
      <c r="B20" t="s">
        <v>732</v>
      </c>
      <c r="C20" s="179">
        <f>ROUND('DOE25'!L206+'DOE25'!L224+'DOE25'!L242+'DOE25'!L285+'DOE25'!L304+'DOE25'!L323,0)</f>
        <v>1102183</v>
      </c>
      <c r="D20" s="182">
        <f t="shared" si="0"/>
        <v>7.3</v>
      </c>
    </row>
    <row r="21" spans="1:4" x14ac:dyDescent="0.2">
      <c r="A21">
        <v>2700</v>
      </c>
      <c r="B21" t="s">
        <v>733</v>
      </c>
      <c r="C21" s="179">
        <f>ROUND('DOE25'!L207+'DOE25'!L225+'DOE25'!L243+'DOE25'!L286+'DOE25'!L305+'DOE25'!L324,0)</f>
        <v>590131</v>
      </c>
      <c r="D21" s="182">
        <f t="shared" si="0"/>
        <v>3.9</v>
      </c>
    </row>
    <row r="22" spans="1:4" x14ac:dyDescent="0.2">
      <c r="A22">
        <v>2900</v>
      </c>
      <c r="B22" t="s">
        <v>735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737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745</v>
      </c>
      <c r="B24" t="s">
        <v>738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739</v>
      </c>
      <c r="C25" s="179">
        <f>ROUND('DOE25'!L260+'DOE25'!L341,0)</f>
        <v>131025</v>
      </c>
      <c r="D25" s="182">
        <f t="shared" si="0"/>
        <v>0.9</v>
      </c>
    </row>
    <row r="26" spans="1:4" x14ac:dyDescent="0.2">
      <c r="A26" s="183" t="s">
        <v>740</v>
      </c>
      <c r="B26" t="s">
        <v>741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97</v>
      </c>
      <c r="C27" s="179">
        <f>ROUND('DOE25'!L361-'DOE25'!L360,0)-SUM('DOE25'!G96:G109)</f>
        <v>154910</v>
      </c>
      <c r="D27" s="182">
        <f t="shared" si="0"/>
        <v>1</v>
      </c>
    </row>
    <row r="28" spans="1:4" x14ac:dyDescent="0.2">
      <c r="B28" s="187" t="s">
        <v>742</v>
      </c>
      <c r="C28" s="180">
        <f>SUM(C10:C27)</f>
        <v>15108956</v>
      </c>
      <c r="D28" s="184">
        <f>ROUND(SUM(D10:D27),0)</f>
        <v>100</v>
      </c>
    </row>
    <row r="29" spans="1:4" x14ac:dyDescent="0.2">
      <c r="A29">
        <v>4000</v>
      </c>
      <c r="B29" t="s">
        <v>747</v>
      </c>
      <c r="C29" s="179">
        <f>ROUND('DOE25'!L254+'DOE25'!L335+'DOE25'!L373+'DOE25'!L374+'DOE25'!L375+'DOE25'!L376+'DOE25'!L377+'DOE25'!L378+'DOE25'!L379,0)</f>
        <v>5400</v>
      </c>
    </row>
    <row r="30" spans="1:4" x14ac:dyDescent="0.2">
      <c r="B30" s="187" t="s">
        <v>748</v>
      </c>
      <c r="C30" s="180">
        <f>SUM(C28:C29)</f>
        <v>15114356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749</v>
      </c>
      <c r="C32" s="180">
        <f>ROUND('DOE25'!L259+'DOE25'!L340,0)</f>
        <v>415000</v>
      </c>
    </row>
    <row r="34" spans="1:4" x14ac:dyDescent="0.2">
      <c r="A34" s="187" t="s">
        <v>68</v>
      </c>
      <c r="B34" s="188" t="s">
        <v>853</v>
      </c>
      <c r="C34" s="181" t="s">
        <v>743</v>
      </c>
      <c r="D34" s="181" t="s">
        <v>744</v>
      </c>
    </row>
    <row r="35" spans="1:4" x14ac:dyDescent="0.2">
      <c r="A35">
        <v>1100</v>
      </c>
      <c r="B35" s="185" t="s">
        <v>750</v>
      </c>
      <c r="C35" s="179">
        <f>ROUND('DOE25'!F59+'DOE25'!G59+'DOE25'!H59+'DOE25'!I59+'DOE25'!J59,0)</f>
        <v>11108478</v>
      </c>
      <c r="D35" s="182">
        <f t="shared" ref="D35:D40" si="1">ROUND((C35/$C$41)*100,1)</f>
        <v>71.2</v>
      </c>
    </row>
    <row r="36" spans="1:4" x14ac:dyDescent="0.2">
      <c r="B36" s="185" t="s">
        <v>757</v>
      </c>
      <c r="C36" s="179">
        <f>SUM('DOE25'!F111:J111)-SUM('DOE25'!G96:G109)+('DOE25'!F173+'DOE25'!F174+'DOE25'!I173+'DOE25'!I174)-C35</f>
        <v>180320</v>
      </c>
      <c r="D36" s="182">
        <f t="shared" si="1"/>
        <v>1.2</v>
      </c>
    </row>
    <row r="37" spans="1:4" x14ac:dyDescent="0.2">
      <c r="A37" s="183" t="s">
        <v>875</v>
      </c>
      <c r="B37" s="185" t="s">
        <v>625</v>
      </c>
      <c r="C37" s="179">
        <f>ROUND('DOE25'!F116+'DOE25'!F117+'DOE25'!F118,0)</f>
        <v>3603526</v>
      </c>
      <c r="D37" s="182">
        <f t="shared" si="1"/>
        <v>23.1</v>
      </c>
    </row>
    <row r="38" spans="1:4" x14ac:dyDescent="0.2">
      <c r="A38" s="183" t="s">
        <v>752</v>
      </c>
      <c r="B38" s="185" t="s">
        <v>626</v>
      </c>
      <c r="C38" s="179">
        <f>ROUND(SUM('DOE25'!F139:J139)-SUM('DOE25'!F116:F118),0)</f>
        <v>155616</v>
      </c>
      <c r="D38" s="182">
        <f t="shared" si="1"/>
        <v>1</v>
      </c>
    </row>
    <row r="39" spans="1:4" x14ac:dyDescent="0.2">
      <c r="A39">
        <v>4000</v>
      </c>
      <c r="B39" s="185" t="s">
        <v>627</v>
      </c>
      <c r="C39" s="179">
        <f>ROUND('DOE25'!F168+'DOE25'!G168+'DOE25'!H168+'DOE25'!I168,0)</f>
        <v>556569</v>
      </c>
      <c r="D39" s="182">
        <f t="shared" si="1"/>
        <v>3.6</v>
      </c>
    </row>
    <row r="40" spans="1:4" x14ac:dyDescent="0.2">
      <c r="A40" s="183" t="s">
        <v>753</v>
      </c>
      <c r="B40" s="185" t="s">
        <v>628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629</v>
      </c>
      <c r="C41" s="180">
        <f>SUM(C35:C40)</f>
        <v>15604509</v>
      </c>
      <c r="D41" s="184">
        <f>SUM(D35:D40)</f>
        <v>100.1</v>
      </c>
    </row>
    <row r="42" spans="1:4" x14ac:dyDescent="0.2">
      <c r="A42" s="183" t="s">
        <v>755</v>
      </c>
      <c r="B42" s="185" t="s">
        <v>751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horizontalDpi="4294967292" verticalDpi="4294967292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786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783</v>
      </c>
      <c r="B2" s="297"/>
      <c r="C2" s="297"/>
      <c r="D2" s="297"/>
      <c r="E2" s="297"/>
      <c r="F2" s="290" t="str">
        <f>'DOE25'!A2</f>
        <v>HOPKINTON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784</v>
      </c>
      <c r="B3" s="218" t="s">
        <v>785</v>
      </c>
      <c r="C3" s="288" t="s">
        <v>787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910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784</v>
      </c>
      <c r="B73" s="211" t="s">
        <v>785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2012-09-05T13:17:19Z</cp:lastPrinted>
  <dcterms:created xsi:type="dcterms:W3CDTF">1997-12-04T19:04:30Z</dcterms:created>
  <dcterms:modified xsi:type="dcterms:W3CDTF">2012-11-21T14:44:08Z</dcterms:modified>
</cp:coreProperties>
</file>