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6" i="1" l="1"/>
  <c r="F117" i="1"/>
  <c r="F116" i="1"/>
  <c r="G506" i="1" l="1"/>
  <c r="J467" i="1" l="1"/>
  <c r="G440" i="1"/>
  <c r="C37" i="12" l="1"/>
  <c r="B37" i="12"/>
  <c r="B30" i="12"/>
  <c r="B29" i="12"/>
  <c r="B28" i="12"/>
  <c r="C28" i="12"/>
  <c r="C30" i="12"/>
  <c r="C29" i="12"/>
  <c r="B21" i="12"/>
  <c r="C21" i="12" s="1"/>
  <c r="B20" i="12"/>
  <c r="B19" i="12"/>
  <c r="C20" i="12"/>
  <c r="C19" i="12"/>
  <c r="C12" i="12"/>
  <c r="C11" i="12"/>
  <c r="C10" i="12"/>
  <c r="B11" i="12"/>
  <c r="B10" i="12"/>
  <c r="B12" i="12"/>
  <c r="K563" i="1"/>
  <c r="H537" i="1"/>
  <c r="G527" i="1"/>
  <c r="H525" i="1"/>
  <c r="K522" i="1"/>
  <c r="F527" i="1"/>
  <c r="G526" i="1"/>
  <c r="F526" i="1"/>
  <c r="H527" i="1"/>
  <c r="H526" i="1"/>
  <c r="F525" i="1"/>
  <c r="G525" i="1"/>
  <c r="I527" i="1"/>
  <c r="I526" i="1"/>
  <c r="I525" i="1"/>
  <c r="I522" i="1"/>
  <c r="I521" i="1"/>
  <c r="I520" i="1"/>
  <c r="H522" i="1"/>
  <c r="H521" i="1"/>
  <c r="H520" i="1"/>
  <c r="K521" i="1"/>
  <c r="F498" i="1" l="1"/>
  <c r="J603" i="1"/>
  <c r="I603" i="1"/>
  <c r="H603" i="1"/>
  <c r="H243" i="1"/>
  <c r="H235" i="1"/>
  <c r="H225" i="1"/>
  <c r="H217" i="1"/>
  <c r="H234" i="1"/>
  <c r="G367" i="1"/>
  <c r="H366" i="1"/>
  <c r="G366" i="1"/>
  <c r="F366" i="1"/>
  <c r="H367" i="1"/>
  <c r="F367" i="1"/>
  <c r="K299" i="1"/>
  <c r="K300" i="1"/>
  <c r="K319" i="1"/>
  <c r="J315" i="1"/>
  <c r="H332" i="1"/>
  <c r="F332" i="1"/>
  <c r="I315" i="1"/>
  <c r="H315" i="1"/>
  <c r="G315" i="1"/>
  <c r="F315" i="1"/>
  <c r="K281" i="1"/>
  <c r="I299" i="1"/>
  <c r="H299" i="1"/>
  <c r="G299" i="1"/>
  <c r="F299" i="1"/>
  <c r="K295" i="1"/>
  <c r="J295" i="1"/>
  <c r="I295" i="1"/>
  <c r="H295" i="1"/>
  <c r="G295" i="1"/>
  <c r="F295" i="1"/>
  <c r="K294" i="1"/>
  <c r="J294" i="1"/>
  <c r="I294" i="1"/>
  <c r="H294" i="1"/>
  <c r="G294" i="1"/>
  <c r="F294" i="1"/>
  <c r="F280" i="1"/>
  <c r="K276" i="1"/>
  <c r="J276" i="1"/>
  <c r="I276" i="1"/>
  <c r="H276" i="1"/>
  <c r="G276" i="1"/>
  <c r="F276" i="1"/>
  <c r="K275" i="1"/>
  <c r="J275" i="1"/>
  <c r="I275" i="1"/>
  <c r="H275" i="1"/>
  <c r="G275" i="1"/>
  <c r="F275" i="1"/>
  <c r="J592" i="1"/>
  <c r="H590" i="1"/>
  <c r="J590" i="1"/>
  <c r="I590" i="1"/>
  <c r="H254" i="1"/>
  <c r="K260" i="1"/>
  <c r="J242" i="1"/>
  <c r="I241" i="1"/>
  <c r="H242" i="1"/>
  <c r="J238" i="1"/>
  <c r="J237" i="1"/>
  <c r="J233" i="1"/>
  <c r="K232" i="1"/>
  <c r="J219" i="1"/>
  <c r="K219" i="1"/>
  <c r="H215" i="1"/>
  <c r="I215" i="1"/>
  <c r="J215" i="1"/>
  <c r="I206" i="1"/>
  <c r="J197" i="1"/>
  <c r="G206" i="1"/>
  <c r="J204" i="1"/>
  <c r="J201" i="1"/>
  <c r="F203" i="1"/>
  <c r="I242" i="1"/>
  <c r="G242" i="1"/>
  <c r="F242" i="1"/>
  <c r="H240" i="1"/>
  <c r="I238" i="1"/>
  <c r="H238" i="1"/>
  <c r="G238" i="1"/>
  <c r="F238" i="1"/>
  <c r="K237" i="1"/>
  <c r="I237" i="1"/>
  <c r="H237" i="1"/>
  <c r="G237" i="1"/>
  <c r="F237" i="1"/>
  <c r="I233" i="1"/>
  <c r="H233" i="1"/>
  <c r="G233" i="1"/>
  <c r="F233" i="1"/>
  <c r="H232" i="1"/>
  <c r="G232" i="1"/>
  <c r="F232" i="1"/>
  <c r="I224" i="1"/>
  <c r="H224" i="1"/>
  <c r="G224" i="1"/>
  <c r="F224" i="1"/>
  <c r="H222" i="1"/>
  <c r="J220" i="1"/>
  <c r="I220" i="1"/>
  <c r="H220" i="1"/>
  <c r="G220" i="1"/>
  <c r="F220" i="1"/>
  <c r="I219" i="1"/>
  <c r="G219" i="1"/>
  <c r="F219" i="1"/>
  <c r="G215" i="1"/>
  <c r="F215" i="1"/>
  <c r="H214" i="1"/>
  <c r="G214" i="1"/>
  <c r="F214" i="1"/>
  <c r="F205" i="1"/>
  <c r="H207" i="1"/>
  <c r="H206" i="1"/>
  <c r="F206" i="1"/>
  <c r="H204" i="1"/>
  <c r="J202" i="1"/>
  <c r="I202" i="1"/>
  <c r="H202" i="1"/>
  <c r="G202" i="1"/>
  <c r="F202" i="1"/>
  <c r="I201" i="1"/>
  <c r="H201" i="1"/>
  <c r="G201" i="1"/>
  <c r="F201" i="1"/>
  <c r="I197" i="1"/>
  <c r="H197" i="1"/>
  <c r="G197" i="1"/>
  <c r="F197" i="1"/>
  <c r="H196" i="1"/>
  <c r="G196" i="1"/>
  <c r="F196" i="1"/>
  <c r="H95" i="1" l="1"/>
  <c r="G471" i="1"/>
  <c r="G467" i="1"/>
  <c r="G96" i="1"/>
  <c r="G47" i="1"/>
  <c r="G438" i="1"/>
  <c r="H467" i="1" l="1"/>
  <c r="H471" i="1"/>
  <c r="H47" i="1"/>
  <c r="F12" i="1"/>
  <c r="H103" i="1"/>
  <c r="K425" i="1" l="1"/>
  <c r="J425" i="1"/>
  <c r="H399" i="1" l="1"/>
  <c r="H388" i="1"/>
  <c r="I359" i="1"/>
  <c r="K359" i="1"/>
  <c r="K358" i="1"/>
  <c r="K357" i="1"/>
  <c r="J359" i="1"/>
  <c r="J358" i="1"/>
  <c r="J357" i="1"/>
  <c r="I358" i="1"/>
  <c r="I357" i="1"/>
  <c r="H359" i="1"/>
  <c r="H358" i="1"/>
  <c r="H357" i="1"/>
  <c r="G359" i="1"/>
  <c r="G358" i="1"/>
  <c r="G357" i="1"/>
  <c r="F359" i="1"/>
  <c r="F358" i="1"/>
  <c r="F357" i="1"/>
  <c r="G157" i="1" l="1"/>
  <c r="H24" i="1"/>
  <c r="H14" i="1"/>
  <c r="H9" i="1"/>
  <c r="F109" i="1" l="1"/>
  <c r="F69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B2" i="13"/>
  <c r="F8" i="13"/>
  <c r="G8" i="13"/>
  <c r="L203" i="1"/>
  <c r="L221" i="1"/>
  <c r="C17" i="10" s="1"/>
  <c r="L239" i="1"/>
  <c r="D39" i="13"/>
  <c r="F13" i="13"/>
  <c r="G13" i="13"/>
  <c r="L205" i="1"/>
  <c r="L223" i="1"/>
  <c r="C19" i="10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C18" i="10" s="1"/>
  <c r="L240" i="1"/>
  <c r="F14" i="13"/>
  <c r="G14" i="13"/>
  <c r="L206" i="1"/>
  <c r="L224" i="1"/>
  <c r="L242" i="1"/>
  <c r="C20" i="10" s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F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C12" i="10"/>
  <c r="C13" i="10"/>
  <c r="L249" i="1"/>
  <c r="C112" i="2" s="1"/>
  <c r="L331" i="1"/>
  <c r="L253" i="1"/>
  <c r="C24" i="10" s="1"/>
  <c r="L267" i="1"/>
  <c r="L268" i="1"/>
  <c r="L348" i="1"/>
  <c r="L349" i="1"/>
  <c r="I664" i="1"/>
  <c r="I669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E18" i="2" s="1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C110" i="2"/>
  <c r="E110" i="2"/>
  <c r="E111" i="2"/>
  <c r="E112" i="2"/>
  <c r="C113" i="2"/>
  <c r="E113" i="2"/>
  <c r="D114" i="2"/>
  <c r="F114" i="2"/>
  <c r="G114" i="2"/>
  <c r="E117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F451" i="1"/>
  <c r="G451" i="1"/>
  <c r="H451" i="1"/>
  <c r="I451" i="1"/>
  <c r="F459" i="1"/>
  <c r="F460" i="1" s="1"/>
  <c r="H638" i="1" s="1"/>
  <c r="G459" i="1"/>
  <c r="H459" i="1"/>
  <c r="H460" i="1" s="1"/>
  <c r="H640" i="1" s="1"/>
  <c r="I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39" i="1"/>
  <c r="G640" i="1"/>
  <c r="G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G163" i="2"/>
  <c r="G159" i="2"/>
  <c r="C18" i="2"/>
  <c r="F31" i="2"/>
  <c r="C26" i="10"/>
  <c r="L327" i="1"/>
  <c r="L350" i="1"/>
  <c r="A31" i="1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G570" i="1" l="1"/>
  <c r="F544" i="1"/>
  <c r="I662" i="1"/>
  <c r="C21" i="10"/>
  <c r="C15" i="10"/>
  <c r="G31" i="13"/>
  <c r="E118" i="2"/>
  <c r="E127" i="2" s="1"/>
  <c r="F31" i="13"/>
  <c r="I337" i="1"/>
  <c r="I351" i="1" s="1"/>
  <c r="C10" i="10"/>
  <c r="L289" i="1"/>
  <c r="C16" i="10"/>
  <c r="E114" i="2"/>
  <c r="I661" i="1"/>
  <c r="C117" i="2"/>
  <c r="L210" i="1"/>
  <c r="C131" i="2"/>
  <c r="G622" i="1"/>
  <c r="I445" i="1"/>
  <c r="G641" i="1" s="1"/>
  <c r="G460" i="1"/>
  <c r="H639" i="1" s="1"/>
  <c r="J639" i="1" s="1"/>
  <c r="I460" i="1"/>
  <c r="H641" i="1" s="1"/>
  <c r="J641" i="1" s="1"/>
  <c r="H660" i="1"/>
  <c r="G660" i="1"/>
  <c r="L361" i="1"/>
  <c r="D50" i="2"/>
  <c r="L246" i="1"/>
  <c r="H659" i="1" s="1"/>
  <c r="H663" i="1" s="1"/>
  <c r="C118" i="2"/>
  <c r="C111" i="2"/>
  <c r="L228" i="1"/>
  <c r="C109" i="2"/>
  <c r="K256" i="1"/>
  <c r="K270" i="1" s="1"/>
  <c r="I256" i="1"/>
  <c r="I270" i="1" s="1"/>
  <c r="G256" i="1"/>
  <c r="G270" i="1" s="1"/>
  <c r="F256" i="1"/>
  <c r="F270" i="1" s="1"/>
  <c r="J648" i="1"/>
  <c r="G33" i="13"/>
  <c r="A22" i="12"/>
  <c r="C61" i="2"/>
  <c r="C62" i="2" s="1"/>
  <c r="E77" i="2"/>
  <c r="E80" i="2" s="1"/>
  <c r="F103" i="2"/>
  <c r="L426" i="1"/>
  <c r="L433" i="1" s="1"/>
  <c r="G637" i="1" s="1"/>
  <c r="J637" i="1" s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G337" i="1"/>
  <c r="G351" i="1" s="1"/>
  <c r="D144" i="2"/>
  <c r="C23" i="10"/>
  <c r="F168" i="1"/>
  <c r="C39" i="10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50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J50" i="1"/>
  <c r="L564" i="1"/>
  <c r="L570" i="1" s="1"/>
  <c r="G544" i="1"/>
  <c r="L544" i="1"/>
  <c r="H544" i="1"/>
  <c r="K550" i="1"/>
  <c r="F143" i="2"/>
  <c r="F144" i="2" s="1"/>
  <c r="K551" i="1" l="1"/>
  <c r="J647" i="1"/>
  <c r="F659" i="1"/>
  <c r="F663" i="1" s="1"/>
  <c r="F671" i="1" s="1"/>
  <c r="C4" i="10" s="1"/>
  <c r="E144" i="2"/>
  <c r="C127" i="2"/>
  <c r="J622" i="1"/>
  <c r="G50" i="2"/>
  <c r="H192" i="1"/>
  <c r="G628" i="1" s="1"/>
  <c r="J628" i="1" s="1"/>
  <c r="I660" i="1"/>
  <c r="C27" i="10"/>
  <c r="G634" i="1"/>
  <c r="J634" i="1" s="1"/>
  <c r="C28" i="10"/>
  <c r="D23" i="10" s="1"/>
  <c r="L256" i="1"/>
  <c r="L270" i="1" s="1"/>
  <c r="G631" i="1" s="1"/>
  <c r="J631" i="1" s="1"/>
  <c r="H671" i="1"/>
  <c r="C6" i="10" s="1"/>
  <c r="H666" i="1"/>
  <c r="C114" i="2"/>
  <c r="C36" i="10"/>
  <c r="D10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66" i="1" l="1"/>
  <c r="C144" i="2"/>
  <c r="D26" i="10"/>
  <c r="D24" i="10"/>
  <c r="D27" i="10"/>
  <c r="D13" i="10"/>
  <c r="D15" i="10"/>
  <c r="D20" i="10"/>
  <c r="D18" i="10"/>
  <c r="D11" i="10"/>
  <c r="D21" i="10"/>
  <c r="D12" i="10"/>
  <c r="D16" i="10"/>
  <c r="D19" i="10"/>
  <c r="D22" i="10"/>
  <c r="C30" i="10"/>
  <c r="D17" i="10"/>
  <c r="D25" i="10"/>
  <c r="G636" i="1"/>
  <c r="J636" i="1" s="1"/>
  <c r="H645" i="1"/>
  <c r="J645" i="1" s="1"/>
  <c r="D33" i="13"/>
  <c r="D36" i="13" s="1"/>
  <c r="G663" i="1"/>
  <c r="I659" i="1"/>
  <c r="I663" i="1" s="1"/>
  <c r="J625" i="1"/>
  <c r="D28" i="10" l="1"/>
  <c r="I666" i="1"/>
  <c r="I671" i="1"/>
  <c r="C7" i="10" s="1"/>
  <c r="G671" i="1"/>
  <c r="C5" i="10" s="1"/>
  <c r="G666" i="1"/>
  <c r="C67" i="2"/>
  <c r="C69" i="2" s="1"/>
  <c r="C80" i="2" s="1"/>
  <c r="C103" i="2" s="1"/>
  <c r="F120" i="1"/>
  <c r="F139" i="1" s="1"/>
  <c r="C37" i="10"/>
  <c r="C38" i="10" l="1"/>
  <c r="C41" i="10" s="1"/>
  <c r="D37" i="10" s="1"/>
  <c r="F192" i="1"/>
  <c r="G626" i="1" s="1"/>
  <c r="J626" i="1" l="1"/>
  <c r="H655" i="1"/>
  <c r="D35" i="10"/>
  <c r="D39" i="10"/>
  <c r="D40" i="10"/>
  <c r="D36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<sst xmlns="http://schemas.openxmlformats.org/spreadsheetml/2006/main" count="3945" uniqueCount="912">
  <si>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</si>
  <si>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</si>
  <si>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</si>
  <si>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</si>
  <si>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</si>
  <si>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</si>
  <si>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</si>
  <si>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</si>
  <si>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</si>
  <si>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</si>
  <si>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</si>
  <si>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</si>
  <si>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</si>
  <si>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</si>
  <si>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</si>
  <si>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</si>
  <si>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</si>
  <si>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</si>
  <si>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</si>
  <si>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</si>
  <si>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</si>
  <si>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</si>
  <si>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</si>
  <si>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</si>
  <si>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</si>
  <si>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</si>
  <si>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</si>
  <si>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</si>
  <si>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</si>
  <si>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</si>
  <si>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</si>
  <si>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</si>
  <si>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</si>
  <si>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</si>
  <si>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</si>
  <si>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</si>
  <si>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</si>
  <si>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</si>
  <si>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</si>
  <si>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</si>
  <si>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</si>
  <si>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</si>
  <si>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</si>
  <si>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</si>
  <si>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</si>
  <si>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</si>
  <si>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</si>
  <si>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</si>
  <si>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</si>
  <si>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</si>
  <si>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</si>
  <si>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</si>
  <si>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</si>
  <si>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</si>
  <si>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</si>
  <si>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</si>
  <si>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</si>
  <si>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</si>
  <si>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</si>
  <si>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</si>
  <si>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</si>
  <si>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</si>
  <si>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</si>
  <si>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</si>
  <si>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</si>
  <si>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</si>
  <si>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</si>
  <si>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</si>
  <si>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</si>
  <si>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</si>
  <si>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</si>
  <si>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</si>
  <si>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</si>
  <si>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</si>
  <si>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</si>
  <si>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</si>
  <si>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</si>
  <si>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</si>
  <si>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</si>
  <si>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</si>
  <si>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</si>
  <si>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</si>
  <si>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</si>
  <si>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</si>
  <si>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</si>
  <si>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</si>
  <si>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</si>
  <si>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</si>
  <si>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</si>
  <si>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</si>
  <si>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</si>
  <si>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</si>
  <si>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</si>
  <si>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</si>
  <si>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</si>
  <si>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</si>
  <si>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</si>
  <si>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</si>
  <si>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</si>
  <si>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</si>
  <si>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</si>
  <si>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</si>
  <si>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</si>
  <si>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</si>
  <si>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</si>
  <si>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</si>
  <si>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</si>
  <si>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</si>
  <si>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</si>
  <si>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</si>
  <si>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</si>
  <si>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</si>
  <si>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</si>
  <si>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</si>
  <si>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</si>
  <si>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</si>
  <si>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</si>
  <si>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</si>
  <si>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</si>
  <si>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</si>
  <si>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</si>
  <si>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</si>
  <si>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</si>
  <si>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</si>
  <si>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</si>
  <si>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</si>
  <si>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</si>
  <si>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</si>
  <si>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</si>
  <si>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</si>
  <si>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</si>
  <si>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</si>
  <si>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</si>
  <si>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</si>
  <si>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</si>
  <si>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</si>
  <si>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</si>
  <si>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</si>
  <si>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</si>
  <si>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</si>
  <si>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</si>
  <si>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</si>
  <si>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</si>
  <si>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</si>
  <si>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</si>
  <si>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</si>
  <si>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</si>
  <si>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</si>
  <si>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</si>
  <si>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</si>
  <si>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</si>
  <si>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</si>
  <si>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</si>
  <si>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</si>
  <si>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</si>
  <si>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</si>
  <si>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</si>
  <si>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</si>
  <si>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</si>
  <si>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</si>
  <si>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</si>
  <si>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</si>
  <si>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</si>
  <si>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</si>
  <si>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</si>
  <si>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</si>
  <si>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</si>
  <si>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</si>
  <si>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</si>
  <si>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</si>
  <si>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</si>
  <si>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</si>
  <si>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</si>
  <si>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</si>
  <si>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</si>
  <si>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</si>
  <si>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</si>
  <si>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</si>
  <si>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</si>
  <si>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</si>
  <si>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</si>
  <si>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</si>
  <si>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</si>
  <si>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</si>
  <si>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</si>
  <si>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</si>
  <si>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</si>
  <si>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</si>
  <si>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</si>
  <si>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</si>
  <si>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</si>
  <si>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</si>
  <si>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</si>
  <si>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</si>
  <si>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</si>
  <si>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</si>
  <si>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</si>
  <si>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</si>
  <si>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</si>
  <si>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</si>
  <si>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</si>
  <si>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</si>
  <si>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</si>
  <si>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</si>
  <si>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</si>
  <si>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</si>
  <si>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</si>
  <si>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</si>
  <si>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</si>
  <si>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</si>
  <si>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</si>
  <si>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</si>
  <si>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</si>
  <si>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</si>
  <si>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</si>
  <si>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</si>
  <si>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</si>
  <si>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</si>
  <si>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</si>
  <si>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</si>
  <si>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</si>
  <si>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</si>
  <si>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</si>
  <si>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</si>
  <si>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</si>
  <si>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</si>
  <si>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</si>
  <si>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</si>
  <si>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</si>
  <si>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</si>
  <si>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</si>
  <si>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</si>
  <si>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</si>
  <si>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</si>
  <si>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</si>
  <si>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</si>
  <si>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</si>
  <si>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</si>
  <si>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</si>
  <si>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</si>
  <si>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</si>
  <si>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</si>
  <si>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</si>
  <si>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</si>
  <si>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</si>
  <si>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</si>
  <si>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</si>
  <si>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</si>
  <si>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</si>
  <si>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</si>
  <si>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</si>
  <si>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</si>
  <si>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</si>
  <si>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</si>
  <si>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</si>
  <si>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</si>
  <si>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</si>
  <si>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</si>
  <si>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</si>
  <si>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</si>
  <si>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</si>
  <si>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</si>
  <si>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</si>
  <si>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</si>
  <si>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</si>
  <si>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</si>
  <si>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</si>
  <si>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</si>
  <si>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</si>
  <si>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</si>
  <si>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</si>
  <si>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</si>
  <si>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</si>
  <si>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</si>
  <si>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</si>
  <si>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</si>
  <si>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</si>
  <si>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</si>
  <si>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</si>
  <si>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</si>
  <si>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</si>
  <si>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</si>
  <si>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</si>
  <si>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</si>
  <si>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</si>
  <si>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</si>
  <si>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</si>
  <si>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</si>
  <si>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</si>
  <si>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</si>
  <si>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</si>
  <si>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</si>
  <si>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</si>
  <si>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</si>
  <si>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</si>
  <si>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</si>
  <si>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</si>
  <si>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</si>
  <si>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</si>
  <si>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</si>
  <si>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</si>
  <si>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</si>
  <si>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</si>
  <si>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</si>
  <si>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</si>
  <si>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</si>
  <si>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</si>
  <si>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</si>
  <si>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</si>
  <si>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</si>
  <si>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</si>
  <si>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</si>
  <si>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</si>
  <si>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</si>
  <si>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</si>
  <si>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</si>
  <si>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</si>
  <si>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</si>
  <si>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</si>
  <si>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</si>
  <si>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</si>
  <si>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</si>
  <si>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</si>
  <si>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</si>
  <si>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</si>
  <si>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</si>
  <si>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</si>
  <si>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</si>
  <si>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</si>
  <si>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</si>
  <si>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</si>
  <si>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</si>
  <si>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</si>
  <si>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</si>
  <si>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</si>
  <si>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</si>
  <si>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</si>
  <si>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</si>
  <si>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</si>
  <si>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</si>
  <si>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</si>
  <si>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</si>
  <si>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</si>
  <si>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</si>
  <si>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</si>
  <si>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</si>
  <si>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</si>
  <si>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</si>
  <si>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</si>
  <si>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</si>
  <si>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</si>
  <si>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</si>
  <si>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</si>
  <si>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</si>
  <si>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</si>
  <si>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</si>
  <si>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</si>
  <si>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</si>
  <si>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</si>
  <si>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</si>
  <si>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</si>
  <si>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</si>
  <si>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</si>
  <si>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</si>
  <si>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</si>
  <si>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</si>
  <si>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</si>
  <si>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</si>
  <si>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</si>
  <si>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</si>
  <si>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</si>
  <si>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</si>
  <si>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</si>
  <si>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</si>
  <si>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</si>
  <si>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</si>
  <si>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</si>
  <si>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</si>
  <si>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</si>
  <si>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</si>
  <si>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</si>
  <si>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</si>
  <si>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</si>
  <si>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</si>
  <si>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</si>
  <si>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</si>
  <si>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</si>
  <si>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</si>
  <si>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</si>
  <si>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</si>
  <si>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</si>
  <si>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</si>
  <si>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</si>
  <si>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</si>
  <si>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</si>
  <si>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</si>
  <si>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</si>
  <si>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</si>
  <si>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</si>
  <si>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</si>
  <si>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</si>
  <si>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</si>
  <si>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</si>
  <si>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</si>
  <si>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</si>
  <si>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</si>
  <si>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</si>
  <si>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</si>
  <si>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</si>
  <si>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</si>
  <si>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</si>
  <si>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</si>
  <si>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</si>
  <si>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</si>
  <si>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</si>
  <si>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</si>
  <si>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</si>
  <si>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</si>
  <si>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</si>
  <si>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</si>
  <si>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</si>
  <si>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</si>
  <si>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</si>
  <si>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</si>
  <si>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</si>
  <si>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</si>
  <si>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</si>
  <si>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</si>
  <si>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</si>
  <si>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</si>
  <si>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</si>
  <si>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</si>
  <si>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</si>
  <si>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</si>
  <si>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</si>
  <si>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</si>
  <si>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</si>
  <si>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</si>
  <si>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</si>
  <si>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</si>
  <si>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</si>
  <si>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</si>
  <si>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</si>
  <si>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</si>
  <si>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</si>
  <si>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</si>
  <si>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</si>
  <si>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</si>
  <si>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</si>
  <si>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</si>
  <si>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</si>
  <si>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</si>
  <si>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</si>
  <si>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</si>
  <si>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</si>
  <si>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</si>
  <si>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</si>
  <si>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</si>
  <si>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</si>
  <si>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</si>
  <si>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</si>
  <si>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</si>
  <si>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</si>
  <si>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</si>
  <si>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</si>
  <si>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</si>
  <si>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</si>
  <si>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</si>
  <si>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</si>
  <si>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</si>
  <si>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</si>
  <si>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</si>
  <si>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</si>
  <si>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</si>
  <si>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</si>
  <si>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</si>
  <si>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</si>
  <si>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</si>
  <si>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</si>
  <si>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</si>
  <si>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</si>
  <si>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</si>
  <si>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</si>
  <si>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</si>
  <si>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</si>
  <si>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</si>
  <si>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</si>
  <si>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</si>
  <si>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</si>
  <si>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</si>
  <si>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</si>
  <si>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</si>
  <si>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</si>
  <si>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</si>
  <si>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</si>
  <si>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</si>
  <si>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</si>
  <si>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</si>
  <si>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</si>
  <si>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</si>
  <si>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</si>
  <si>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</si>
  <si>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</si>
  <si>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</si>
  <si>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</si>
  <si>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</si>
  <si>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</si>
  <si>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</si>
  <si>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</si>
  <si>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</si>
  <si>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</si>
  <si>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</si>
  <si>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</si>
  <si>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</si>
  <si>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</si>
  <si>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</si>
  <si>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</si>
  <si>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</si>
  <si>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</si>
  <si>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</si>
  <si>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</si>
  <si>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</si>
  <si>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</si>
  <si>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</si>
  <si>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</si>
  <si>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</si>
  <si>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</si>
  <si>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</si>
  <si>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</si>
  <si>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</si>
  <si>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</si>
  <si>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</si>
  <si>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</si>
  <si>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</si>
  <si>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</si>
  <si>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</si>
  <si>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</si>
  <si>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</si>
  <si>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</si>
  <si>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</si>
  <si>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</si>
  <si>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</si>
  <si>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</si>
  <si>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</si>
  <si>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</si>
  <si>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</si>
  <si>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</si>
  <si>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</si>
  <si>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</si>
  <si>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</si>
  <si>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</si>
  <si>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</si>
  <si>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</si>
  <si>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</si>
  <si>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</si>
  <si>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</si>
  <si>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</si>
  <si>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</si>
  <si>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</si>
  <si>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</si>
  <si>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</si>
  <si>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</si>
  <si>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</si>
  <si>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</si>
  <si>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</si>
  <si>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</si>
  <si>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</si>
  <si>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</si>
  <si>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</si>
  <si>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</si>
  <si>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</si>
  <si>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</si>
  <si>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</si>
  <si>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</si>
  <si>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</si>
  <si>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</si>
  <si>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</si>
  <si>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</si>
  <si>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</si>
  <si>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</si>
  <si>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</si>
  <si>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</si>
  <si>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</si>
  <si>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</si>
  <si>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</si>
  <si>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</si>
  <si>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</si>
  <si>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</si>
  <si>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</si>
  <si>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</si>
  <si>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</si>
  <si>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</si>
  <si>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</si>
  <si>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</si>
  <si>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</si>
  <si>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</si>
  <si>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</si>
  <si>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</si>
  <si>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</si>
  <si>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</si>
  <si>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</si>
  <si>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</si>
  <si>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</si>
  <si>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</si>
  <si>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</si>
  <si>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</si>
  <si>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</si>
  <si>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</si>
  <si>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</si>
  <si>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</si>
  <si>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</si>
  <si>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</si>
  <si>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</si>
  <si>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</si>
  <si>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</si>
  <si>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</si>
  <si>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</si>
  <si>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</si>
  <si>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</si>
  <si>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</si>
  <si>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</si>
  <si>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</si>
  <si>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</si>
  <si>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</si>
  <si>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</si>
  <si>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</si>
  <si>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</si>
  <si>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</si>
  <si>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</si>
  <si>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</si>
  <si>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</si>
  <si>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</si>
  <si>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</si>
  <si>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</si>
  <si>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</si>
  <si>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</si>
  <si>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</si>
  <si>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</si>
  <si>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</si>
  <si>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</si>
  <si>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</si>
  <si>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</si>
  <si>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</si>
  <si>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</si>
  <si>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</si>
  <si>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</si>
  <si>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</si>
  <si>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</si>
  <si>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</si>
  <si>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</si>
  <si>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</si>
  <si>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</si>
  <si>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</si>
  <si>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</si>
  <si>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</si>
  <si>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</si>
  <si>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</si>
  <si>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</si>
  <si>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</si>
  <si>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</si>
  <si>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</si>
  <si>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</si>
  <si>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</si>
  <si>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</si>
  <si>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</si>
  <si>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</si>
  <si>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</si>
  <si>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</si>
  <si>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</si>
  <si>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</si>
  <si>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</si>
  <si>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</si>
  <si>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</si>
  <si>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</si>
  <si>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</si>
  <si>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</si>
  <si>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</si>
  <si>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</si>
  <si>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</si>
  <si>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</si>
  <si>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</si>
  <si>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</si>
  <si>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</si>
  <si>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</si>
  <si>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</si>
  <si>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</si>
  <si>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</si>
  <si>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</si>
  <si>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</si>
  <si>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</si>
  <si>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</si>
  <si>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</si>
  <si>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</si>
  <si>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</si>
  <si>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</si>
  <si>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</si>
  <si>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</si>
  <si>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</si>
  <si>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</si>
  <si>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</si>
  <si>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</si>
  <si>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</si>
  <si>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</si>
  <si>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</si>
  <si>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</si>
  <si>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</si>
  <si>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</si>
  <si>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</si>
  <si>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</si>
  <si>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</si>
  <si>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</si>
  <si>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</si>
  <si>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</si>
  <si>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</si>
  <si>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</si>
  <si>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</si>
  <si>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</si>
  <si>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</si>
  <si>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</si>
  <si>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</si>
  <si>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</si>
  <si>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</si>
  <si>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</si>
  <si>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</si>
  <si>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</si>
  <si>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</si>
  <si>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</si>
  <si>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</si>
  <si>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</si>
  <si>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</si>
  <si>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</si>
  <si>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</si>
  <si>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</si>
  <si>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</si>
  <si>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</si>
  <si>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</si>
  <si>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</si>
  <si>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</si>
  <si>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</si>
  <si>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</si>
  <si>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</si>
  <si>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</si>
  <si>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</si>
  <si>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</si>
  <si>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</si>
  <si>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</si>
  <si>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</si>
  <si>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</si>
  <si>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</si>
  <si>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</si>
  <si>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</si>
  <si>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</si>
  <si>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</si>
  <si>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</si>
  <si>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</si>
  <si>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</si>
  <si>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</si>
  <si>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</si>
  <si>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</si>
  <si>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</si>
  <si>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</si>
  <si>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</si>
  <si>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</si>
  <si>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</si>
  <si>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</si>
  <si>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</si>
  <si>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</si>
  <si>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</si>
  <si>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</si>
  <si>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</si>
  <si>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</si>
  <si>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</si>
  <si>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</si>
  <si>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</si>
  <si>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</si>
  <si>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</si>
  <si>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</si>
  <si>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</si>
  <si>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</si>
  <si>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</si>
  <si>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</si>
  <si>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</si>
  <si>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</si>
  <si>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</si>
  <si>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</si>
  <si>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</si>
  <si>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</si>
  <si>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</si>
  <si>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</si>
  <si>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</si>
  <si>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</si>
  <si>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</si>
  <si>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</si>
  <si>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</si>
  <si>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</si>
  <si>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</si>
  <si>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</si>
  <si>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</si>
  <si>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</si>
  <si>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</si>
  <si>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</si>
  <si>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</si>
  <si>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</si>
  <si>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</si>
  <si>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</si>
  <si>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</si>
  <si>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</si>
  <si>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</si>
  <si>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</si>
  <si>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</si>
  <si>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</si>
  <si>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</si>
  <si>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</si>
  <si>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</si>
  <si>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</si>
  <si>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</si>
  <si>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</si>
  <si>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</si>
  <si>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</si>
  <si>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</si>
  <si>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</si>
  <si>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</si>
  <si>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</si>
  <si>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</si>
  <si>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</si>
  <si>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</si>
  <si>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</si>
  <si>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</si>
  <si>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</si>
  <si>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</si>
  <si>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</si>
  <si>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</si>
  <si>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</si>
  <si>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</si>
  <si>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</si>
  <si>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</si>
  <si>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</si>
  <si>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</si>
  <si>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</si>
  <si>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</si>
  <si>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</si>
  <si>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</si>
  <si>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</si>
  <si>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</si>
  <si>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</si>
  <si>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</si>
  <si>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</si>
  <si>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</si>
  <si>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</si>
  <si>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</si>
  <si>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</si>
  <si>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</si>
  <si>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</si>
  <si>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</si>
  <si>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</si>
  <si>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</si>
  <si>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</si>
  <si>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</si>
  <si>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</si>
  <si>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</si>
  <si>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</si>
  <si>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</si>
  <si>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</si>
  <si>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</si>
  <si>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</si>
  <si>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</si>
  <si>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</si>
  <si>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</si>
  <si>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</si>
  <si>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</si>
  <si>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</si>
  <si>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</si>
  <si>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</si>
  <si>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</si>
  <si>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</si>
  <si>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</si>
  <si>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</si>
  <si>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</si>
  <si>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</si>
  <si>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</si>
  <si>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</si>
  <si>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</si>
  <si>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</si>
  <si>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</si>
  <si>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</si>
  <si>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</si>
  <si>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</si>
  <si>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</si>
  <si>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</si>
  <si>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</si>
  <si>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</si>
  <si>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</si>
  <si>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</si>
  <si>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</si>
  <si>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</si>
  <si>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</si>
  <si>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</si>
  <si>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</si>
  <si>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</si>
  <si>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</si>
  <si>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</si>
  <si>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</si>
  <si>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</si>
  <si>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</si>
  <si>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</si>
  <si>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</si>
  <si>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</si>
  <si>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</si>
  <si>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</si>
  <si>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HUDSON SCHOOL DISTRICT</t>
  </si>
  <si>
    <t>8/10</t>
  </si>
  <si>
    <t>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</si>
</sst>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267</v>
      </c>
      <c r="C2" s="21">
        <v>267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52126.39+1551243.25+200</f>
        <v>1603569.64</v>
      </c>
      <c r="G9" s="18">
        <v>167058.04999999999</v>
      </c>
      <c r="H9" s="18">
        <f>45123.05+230289.58</f>
        <v>275412.63</v>
      </c>
      <c r="I9" s="18"/>
      <c r="J9" s="67">
        <f>SUM(I438)</f>
        <v>678864.39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263958.84+55064.67</f>
        <v>319023.51</v>
      </c>
      <c r="G12" s="18"/>
      <c r="H12" s="18"/>
      <c r="I12" s="18"/>
      <c r="J12" s="67">
        <f>SUM(I440)</f>
        <v>1394.93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268669.89</v>
      </c>
      <c r="G13" s="18">
        <v>61354.44</v>
      </c>
      <c r="H13" s="18">
        <v>267893.57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15123.61</v>
      </c>
      <c r="G14" s="18"/>
      <c r="H14" s="18">
        <f>375+126.91</f>
        <v>501.90999999999997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6480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2212866.65</v>
      </c>
      <c r="G19" s="41">
        <f>SUM(G9:G18)</f>
        <v>228412.49</v>
      </c>
      <c r="H19" s="41">
        <f>SUM(H9:H18)</f>
        <v>543808.11</v>
      </c>
      <c r="I19" s="41">
        <f>SUM(I9:I18)</f>
        <v>0</v>
      </c>
      <c r="J19" s="41">
        <f>SUM(J9:J18)</f>
        <v>680259.32000000007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263958.84000000003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193969.75</v>
      </c>
      <c r="G24" s="18">
        <v>1359.27</v>
      </c>
      <c r="H24" s="18">
        <f>527.47+625.67+894.41</f>
        <v>2047.5499999999997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5734.04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1580197.86</v>
      </c>
      <c r="G29" s="18"/>
      <c r="H29" s="18">
        <v>2381.5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25719.35</v>
      </c>
      <c r="H30" s="18">
        <v>3167.25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1779901.6500000001</v>
      </c>
      <c r="G32" s="41">
        <f>SUM(G22:G31)</f>
        <v>27078.62</v>
      </c>
      <c r="H32" s="41">
        <f>SUM(H22:H31)</f>
        <v>271555.14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201333.87</f>
        <v>201333.87</v>
      </c>
      <c r="H47" s="18">
        <f>229762.11+42490.88-0.02</f>
        <v>272252.96999999997</v>
      </c>
      <c r="I47" s="18"/>
      <c r="J47" s="13">
        <f>SUM(I458)</f>
        <v>680259.32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193187.4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239777.6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432965</v>
      </c>
      <c r="G50" s="41">
        <f>SUM(G35:G49)</f>
        <v>201333.87</v>
      </c>
      <c r="H50" s="41">
        <f>SUM(H35:H49)</f>
        <v>272252.96999999997</v>
      </c>
      <c r="I50" s="41">
        <f>SUM(I35:I49)</f>
        <v>0</v>
      </c>
      <c r="J50" s="41">
        <f>SUM(J35:J49)</f>
        <v>680259.32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2212866.6500000004</v>
      </c>
      <c r="G51" s="41">
        <f>G50+G32</f>
        <v>228412.49</v>
      </c>
      <c r="H51" s="41">
        <f>H50+H32</f>
        <v>543808.11</v>
      </c>
      <c r="I51" s="41">
        <f>I50+I32</f>
        <v>0</v>
      </c>
      <c r="J51" s="41">
        <f>J50+J32</f>
        <v>680259.32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24304013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24304013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21220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141436.2-27783.13</f>
        <v>113653.07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134873.07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7680.94</v>
      </c>
      <c r="G95" s="18">
        <v>740.44</v>
      </c>
      <c r="H95" s="18">
        <f>124.23+160.94+98.78+36.65+153.28+109.84</f>
        <v>683.72</v>
      </c>
      <c r="I95" s="18"/>
      <c r="J95" s="18">
        <v>7054.33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307714.77+7138.5+551047.09</f>
        <v>865900.36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12584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34511.54</v>
      </c>
      <c r="G100" s="18"/>
      <c r="H100" s="18">
        <v>9000</v>
      </c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68372</v>
      </c>
      <c r="G101" s="18">
        <v>22827.93</v>
      </c>
      <c r="H101" s="18"/>
      <c r="I101" s="18"/>
      <c r="J101" s="18">
        <v>200312.85</v>
      </c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>
        <f>25101.52+66978.22+39260.67+75998.81+16963.44+7560+29300+19548.66</f>
        <v>280711.32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14062.53+25281.07</f>
        <v>39343.599999999999</v>
      </c>
      <c r="G109" s="18">
        <v>6280.47</v>
      </c>
      <c r="H109" s="18">
        <v>125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162492.07999999999</v>
      </c>
      <c r="G110" s="41">
        <f>SUM(G95:G109)</f>
        <v>895749.2</v>
      </c>
      <c r="H110" s="41">
        <f>SUM(H95:H109)</f>
        <v>290520.03999999998</v>
      </c>
      <c r="I110" s="41">
        <f>SUM(I95:I109)</f>
        <v>0</v>
      </c>
      <c r="J110" s="41">
        <f>SUM(J95:J109)</f>
        <v>207367.18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24601378.149999999</v>
      </c>
      <c r="G111" s="41">
        <f>G59+G110</f>
        <v>895749.2</v>
      </c>
      <c r="H111" s="41">
        <f>H59+H78+H93+H110</f>
        <v>290520.03999999998</v>
      </c>
      <c r="I111" s="41">
        <f>I59+I110</f>
        <v>0</v>
      </c>
      <c r="J111" s="41">
        <f>J59+J110</f>
        <v>207367.18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9304212-8054.5</f>
        <v>9296157.5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5885956.5+8054.5</f>
        <v>5894011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8054.5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35316.120000000003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15233539.119999999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368157.77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115100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338100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179030.94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149161.75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1425.71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15701.6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1150976.17</v>
      </c>
      <c r="G135" s="41">
        <f>SUM(G122:G134)</f>
        <v>15701.6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16384515.289999999</v>
      </c>
      <c r="G139" s="41">
        <f>G120+SUM(G135:G136)</f>
        <v>15701.6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523477.97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118285.38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215962.85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59549.06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290861.84+42830.33</f>
        <v>333692.17000000004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840825.42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155448.54</v>
      </c>
      <c r="G159" s="24" t="s">
        <v>289</v>
      </c>
      <c r="H159" s="18">
        <v>22830.9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155448.54</v>
      </c>
      <c r="G161" s="41">
        <f>SUM(G149:G160)</f>
        <v>333692.17000000004</v>
      </c>
      <c r="H161" s="41">
        <f>SUM(H149:H160)</f>
        <v>1780931.58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155448.54</v>
      </c>
      <c r="G168" s="41">
        <f>G146+G161+SUM(G162:G167)</f>
        <v>333692.17000000004</v>
      </c>
      <c r="H168" s="41">
        <f>H146+H161+SUM(H162:H167)</f>
        <v>1780931.58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41176.67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41176.67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41176.67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41182518.649999999</v>
      </c>
      <c r="G192" s="47">
        <f>G111+G139+G168+G191</f>
        <v>1245142.97</v>
      </c>
      <c r="H192" s="47">
        <f>H111+H139+H168+H191</f>
        <v>2071451.62</v>
      </c>
      <c r="I192" s="47">
        <f>I111+I139+I168+I191</f>
        <v>0</v>
      </c>
      <c r="J192" s="47">
        <f>J111+J139+J191</f>
        <v>207367.18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3975924.61+250023.76</f>
        <v>4225948.37</v>
      </c>
      <c r="G196" s="18">
        <f>1960739.58+124545.37</f>
        <v>2085284.9500000002</v>
      </c>
      <c r="H196" s="18">
        <f>50412.61+66193.51</f>
        <v>116606.12</v>
      </c>
      <c r="I196" s="18">
        <v>293362.5</v>
      </c>
      <c r="J196" s="18">
        <v>66568.77</v>
      </c>
      <c r="K196" s="18"/>
      <c r="L196" s="19">
        <f>SUM(F196:K196)</f>
        <v>6787770.71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1329093.6+135019.49</f>
        <v>1464113.09</v>
      </c>
      <c r="G197" s="18">
        <f>448309.99+43570.31</f>
        <v>491880.3</v>
      </c>
      <c r="H197" s="18">
        <f>1709.95+336505.91</f>
        <v>338215.86</v>
      </c>
      <c r="I197" s="18">
        <f>11753.51+2876.94</f>
        <v>14630.45</v>
      </c>
      <c r="J197" s="18">
        <f>5544.19+1135.75+0.01</f>
        <v>6679.95</v>
      </c>
      <c r="K197" s="18">
        <v>120</v>
      </c>
      <c r="L197" s="19">
        <f>SUM(F197:K197)</f>
        <v>2315639.6500000004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3741</v>
      </c>
      <c r="G199" s="18">
        <v>947.32</v>
      </c>
      <c r="H199" s="18"/>
      <c r="I199" s="18"/>
      <c r="J199" s="18"/>
      <c r="K199" s="18"/>
      <c r="L199" s="19">
        <f>SUM(F199:K199)</f>
        <v>4688.32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715718.62+332569.88</f>
        <v>1048288.5</v>
      </c>
      <c r="G201" s="18">
        <f>283186.21+140703.35</f>
        <v>423889.56000000006</v>
      </c>
      <c r="H201" s="18">
        <f>10539.83+85048.66</f>
        <v>95588.49</v>
      </c>
      <c r="I201" s="18">
        <f>18749.41+2580.86</f>
        <v>21330.27</v>
      </c>
      <c r="J201" s="18">
        <f>1337.34+498.36</f>
        <v>1835.6999999999998</v>
      </c>
      <c r="K201" s="18">
        <v>6275.67</v>
      </c>
      <c r="L201" s="19">
        <f t="shared" ref="L201:L207" si="0">SUM(F201:K201)</f>
        <v>1597208.19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117003.5+70844.79</f>
        <v>187848.28999999998</v>
      </c>
      <c r="G202" s="18">
        <f>94255.78+70551.33</f>
        <v>164807.10999999999</v>
      </c>
      <c r="H202" s="18">
        <f>14259.84+60734.59</f>
        <v>74994.429999999993</v>
      </c>
      <c r="I202" s="18">
        <f>37160.32+1943.67</f>
        <v>39103.99</v>
      </c>
      <c r="J202" s="18">
        <f>45047+16623.73</f>
        <v>61670.729999999996</v>
      </c>
      <c r="K202" s="18"/>
      <c r="L202" s="19">
        <f t="shared" si="0"/>
        <v>528424.54999999993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215364.88</f>
        <v>215364.88</v>
      </c>
      <c r="G203" s="18">
        <v>69776.55</v>
      </c>
      <c r="H203" s="18">
        <v>20409.02</v>
      </c>
      <c r="I203" s="18">
        <v>8970.35</v>
      </c>
      <c r="J203" s="18">
        <v>989.12</v>
      </c>
      <c r="K203" s="18">
        <v>4383.58</v>
      </c>
      <c r="L203" s="19">
        <f t="shared" si="0"/>
        <v>319893.5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716524.85</v>
      </c>
      <c r="G204" s="18">
        <v>274979.3</v>
      </c>
      <c r="H204" s="18">
        <f>35313.14+13660.26</f>
        <v>48973.4</v>
      </c>
      <c r="I204" s="18">
        <v>43083.07</v>
      </c>
      <c r="J204" s="18">
        <f>37157.69</f>
        <v>37157.69</v>
      </c>
      <c r="K204" s="18">
        <v>4573</v>
      </c>
      <c r="L204" s="19">
        <f t="shared" si="0"/>
        <v>1125291.3099999998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175897.49</f>
        <v>175897.49</v>
      </c>
      <c r="G205" s="18">
        <v>84364.36</v>
      </c>
      <c r="H205" s="18">
        <v>63933.67</v>
      </c>
      <c r="I205" s="18">
        <v>8512.15</v>
      </c>
      <c r="J205" s="18">
        <v>1957.63</v>
      </c>
      <c r="K205" s="18"/>
      <c r="L205" s="19">
        <f t="shared" si="0"/>
        <v>334665.3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520264.02+119770.08</f>
        <v>640034.1</v>
      </c>
      <c r="G206" s="18">
        <f>250329.47+36294.77</f>
        <v>286624.24</v>
      </c>
      <c r="H206" s="18">
        <f>305622.16+198383.34</f>
        <v>504005.5</v>
      </c>
      <c r="I206" s="18">
        <f>350731.61+19118.88</f>
        <v>369850.49</v>
      </c>
      <c r="J206" s="18">
        <v>6951.14</v>
      </c>
      <c r="K206" s="18"/>
      <c r="L206" s="19">
        <f t="shared" si="0"/>
        <v>1807465.4699999997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1409.73+417898.2+178060.23</f>
        <v>597368.16</v>
      </c>
      <c r="I207" s="18"/>
      <c r="J207" s="18"/>
      <c r="K207" s="18"/>
      <c r="L207" s="19">
        <f t="shared" si="0"/>
        <v>597368.16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8677760.5700000003</v>
      </c>
      <c r="G210" s="41">
        <f t="shared" si="1"/>
        <v>3882553.6899999995</v>
      </c>
      <c r="H210" s="41">
        <f t="shared" si="1"/>
        <v>1860094.65</v>
      </c>
      <c r="I210" s="41">
        <f t="shared" si="1"/>
        <v>798843.27</v>
      </c>
      <c r="J210" s="41">
        <f t="shared" si="1"/>
        <v>183810.73</v>
      </c>
      <c r="K210" s="41">
        <f t="shared" si="1"/>
        <v>15352.25</v>
      </c>
      <c r="L210" s="41">
        <f t="shared" si="1"/>
        <v>15418415.16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2826261.39+143128.45</f>
        <v>2969389.8400000003</v>
      </c>
      <c r="G214" s="18">
        <f>1160715.27+71297.17</f>
        <v>1232012.44</v>
      </c>
      <c r="H214" s="18">
        <f>32019.27+37893.1</f>
        <v>69912.37</v>
      </c>
      <c r="I214" s="18">
        <v>116093.75999999999</v>
      </c>
      <c r="J214" s="18">
        <v>101267.79</v>
      </c>
      <c r="K214" s="18">
        <v>767</v>
      </c>
      <c r="L214" s="19">
        <f>SUM(F214:K214)</f>
        <v>4489443.2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872574.33+88487.33</f>
        <v>961061.65999999992</v>
      </c>
      <c r="G215" s="18">
        <f>376709.22+28554.55</f>
        <v>405263.76999999996</v>
      </c>
      <c r="H215" s="18">
        <f>2800.13+220534.95+0.01</f>
        <v>223335.09000000003</v>
      </c>
      <c r="I215" s="18">
        <f>13637.69+1885.45+0.01</f>
        <v>15523.150000000001</v>
      </c>
      <c r="J215" s="18">
        <f>8809.55+744.33+0.01</f>
        <v>9553.89</v>
      </c>
      <c r="K215" s="18"/>
      <c r="L215" s="19">
        <f>SUM(F215:K215)</f>
        <v>1614737.5599999998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56147.11</v>
      </c>
      <c r="G217" s="18">
        <v>10468.379999999999</v>
      </c>
      <c r="H217" s="18">
        <f>19223.88-6669.7</f>
        <v>12554.18</v>
      </c>
      <c r="I217" s="18"/>
      <c r="J217" s="18">
        <v>631.95000000000005</v>
      </c>
      <c r="K217" s="18">
        <v>756.5</v>
      </c>
      <c r="L217" s="19">
        <f>SUM(F217:K217)</f>
        <v>80558.12000000001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323234.71+190382.76</f>
        <v>513617.47000000003</v>
      </c>
      <c r="G219" s="18">
        <f>144877.47+80546.96</f>
        <v>225424.43</v>
      </c>
      <c r="H219" s="18">
        <v>48686.91</v>
      </c>
      <c r="I219" s="18">
        <f>4246.66+1477.44</f>
        <v>5724.1</v>
      </c>
      <c r="J219" s="18">
        <f>1615.62+285.29-0.01</f>
        <v>1900.8999999999999</v>
      </c>
      <c r="K219" s="18">
        <f>3592.57-0.01</f>
        <v>3592.56</v>
      </c>
      <c r="L219" s="19">
        <f t="shared" ref="L219:L225" si="2">SUM(F219:K219)</f>
        <v>798946.37000000011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54683.26+41313.38</f>
        <v>95996.64</v>
      </c>
      <c r="G220" s="18">
        <f>15288.77+41142.24</f>
        <v>56431.009999999995</v>
      </c>
      <c r="H220" s="18">
        <f>9523.68+35417.58</f>
        <v>44941.26</v>
      </c>
      <c r="I220" s="18">
        <f>20484.64+1133.46</f>
        <v>21618.1</v>
      </c>
      <c r="J220" s="18">
        <f>20451.85+9694.19</f>
        <v>30146.04</v>
      </c>
      <c r="K220" s="18">
        <v>827</v>
      </c>
      <c r="L220" s="19">
        <f t="shared" si="2"/>
        <v>249960.05000000002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128880.72</v>
      </c>
      <c r="G221" s="18">
        <v>41660.199999999997</v>
      </c>
      <c r="H221" s="18">
        <v>11728.82</v>
      </c>
      <c r="I221" s="18">
        <v>5264.76</v>
      </c>
      <c r="J221" s="18">
        <v>596.45000000000005</v>
      </c>
      <c r="K221" s="18">
        <v>2517.04</v>
      </c>
      <c r="L221" s="19">
        <f t="shared" si="2"/>
        <v>190647.99000000002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410611.67</v>
      </c>
      <c r="G222" s="18">
        <v>170832.35</v>
      </c>
      <c r="H222" s="18">
        <f>18781.43+7966.03</f>
        <v>26747.46</v>
      </c>
      <c r="I222" s="18">
        <v>21153.93</v>
      </c>
      <c r="J222" s="18">
        <v>680.12</v>
      </c>
      <c r="K222" s="18">
        <v>1838</v>
      </c>
      <c r="L222" s="19">
        <f t="shared" si="2"/>
        <v>631863.53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100694.17</v>
      </c>
      <c r="G223" s="18">
        <v>48295.17</v>
      </c>
      <c r="H223" s="18">
        <v>36599.43</v>
      </c>
      <c r="I223" s="18">
        <v>4872.8599999999997</v>
      </c>
      <c r="J223" s="18">
        <v>1120.6600000000001</v>
      </c>
      <c r="K223" s="18"/>
      <c r="L223" s="19">
        <f t="shared" si="2"/>
        <v>191582.28999999998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290580.76+75275.61</f>
        <v>365856.37</v>
      </c>
      <c r="G224" s="18">
        <f>148971.35+22811.3</f>
        <v>171782.65</v>
      </c>
      <c r="H224" s="18">
        <f>113965.87+124684.11</f>
        <v>238649.97999999998</v>
      </c>
      <c r="I224" s="18">
        <f>168247.28+12016.24</f>
        <v>180263.52</v>
      </c>
      <c r="J224" s="18">
        <v>4368.8</v>
      </c>
      <c r="K224" s="18"/>
      <c r="L224" s="19">
        <f t="shared" si="2"/>
        <v>960921.32000000007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274933.03+116694.84+6669.7</f>
        <v>398297.57</v>
      </c>
      <c r="I225" s="18"/>
      <c r="J225" s="18"/>
      <c r="K225" s="18"/>
      <c r="L225" s="19">
        <f t="shared" si="2"/>
        <v>398297.57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5602255.6499999994</v>
      </c>
      <c r="G228" s="41">
        <f>SUM(G214:G227)</f>
        <v>2362170.3999999994</v>
      </c>
      <c r="H228" s="41">
        <f>SUM(H214:H227)</f>
        <v>1111453.07</v>
      </c>
      <c r="I228" s="41">
        <f>SUM(I214:I227)</f>
        <v>370514.18</v>
      </c>
      <c r="J228" s="41">
        <f>SUM(J214:J227)</f>
        <v>150266.59999999998</v>
      </c>
      <c r="K228" s="41">
        <f t="shared" si="3"/>
        <v>10298.099999999999</v>
      </c>
      <c r="L228" s="41">
        <f t="shared" si="3"/>
        <v>9606958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3545068.63+208378.19</f>
        <v>3753446.82</v>
      </c>
      <c r="G232" s="18">
        <f>1599702.97+103800.29</f>
        <v>1703503.26</v>
      </c>
      <c r="H232" s="18">
        <f>62592.84+55167.89</f>
        <v>117760.73</v>
      </c>
      <c r="I232" s="18">
        <v>164927.10999999999</v>
      </c>
      <c r="J232" s="18">
        <v>58669.24</v>
      </c>
      <c r="K232" s="18">
        <f>2435.24+0.01</f>
        <v>2435.25</v>
      </c>
      <c r="L232" s="19">
        <f>SUM(F232:K232)</f>
        <v>5800742.4100000011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1180225.21+144173.36</f>
        <v>1324398.5699999998</v>
      </c>
      <c r="G233" s="18">
        <f>426193.75+46524.23</f>
        <v>472717.98</v>
      </c>
      <c r="H233" s="18">
        <f>2169.6+359319.88</f>
        <v>361489.48</v>
      </c>
      <c r="I233" s="18">
        <f>3198.07+3071.99</f>
        <v>6270.0599999999995</v>
      </c>
      <c r="J233" s="18">
        <f>1037.02+1212.75-0.01</f>
        <v>2249.7599999999998</v>
      </c>
      <c r="K233" s="18">
        <v>575</v>
      </c>
      <c r="L233" s="19">
        <f>SUM(F233:K233)</f>
        <v>2167700.8499999996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905625.49</v>
      </c>
      <c r="G234" s="18">
        <v>373781.93</v>
      </c>
      <c r="H234" s="18">
        <f>68671.23-13488.38</f>
        <v>55182.85</v>
      </c>
      <c r="I234" s="18">
        <v>108995.25</v>
      </c>
      <c r="J234" s="18">
        <v>17198.12</v>
      </c>
      <c r="K234" s="18">
        <v>830</v>
      </c>
      <c r="L234" s="19">
        <f>SUM(F234:K234)</f>
        <v>1461613.6400000001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242584.55</v>
      </c>
      <c r="G235" s="18">
        <v>34526.019999999997</v>
      </c>
      <c r="H235" s="18">
        <f>169112.33-63629.28</f>
        <v>105483.04999999999</v>
      </c>
      <c r="I235" s="18">
        <v>40192.53</v>
      </c>
      <c r="J235" s="18">
        <v>12244.3</v>
      </c>
      <c r="K235" s="18">
        <v>13650</v>
      </c>
      <c r="L235" s="19">
        <f>SUM(F235:K235)</f>
        <v>448680.45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374818.17+277174.9</f>
        <v>651993.07000000007</v>
      </c>
      <c r="G237" s="18">
        <f>169863.04+117266.89</f>
        <v>287129.93</v>
      </c>
      <c r="H237" s="18">
        <f>3116.14+70882.41</f>
        <v>73998.55</v>
      </c>
      <c r="I237" s="18">
        <f>5235.49+2150.97</f>
        <v>7386.4599999999991</v>
      </c>
      <c r="J237" s="18">
        <f>3371.6+415.35</f>
        <v>3786.95</v>
      </c>
      <c r="K237" s="18">
        <f>775+5230.36</f>
        <v>6005.36</v>
      </c>
      <c r="L237" s="19">
        <f t="shared" ref="L237:L243" si="4">SUM(F237:K237)</f>
        <v>1030300.32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63432.12+58603.79</f>
        <v>122035.91</v>
      </c>
      <c r="G238" s="18">
        <f>49566.64+58361.04</f>
        <v>107927.67999999999</v>
      </c>
      <c r="H238" s="18">
        <f>14810.53+50240.49</f>
        <v>65051.02</v>
      </c>
      <c r="I238" s="18">
        <f>13265.16+1607.83</f>
        <v>14872.99</v>
      </c>
      <c r="J238" s="18">
        <f>10387.79+13751.38+0.01</f>
        <v>24139.179999999997</v>
      </c>
      <c r="K238" s="18">
        <v>148</v>
      </c>
      <c r="L238" s="19">
        <f t="shared" si="4"/>
        <v>334174.77999999997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195302.76</v>
      </c>
      <c r="G239" s="18">
        <v>63004.77</v>
      </c>
      <c r="H239" s="18">
        <v>17138.14</v>
      </c>
      <c r="I239" s="18">
        <v>7842.54</v>
      </c>
      <c r="J239" s="18">
        <v>909.77</v>
      </c>
      <c r="K239" s="18">
        <v>3674.94</v>
      </c>
      <c r="L239" s="19">
        <f t="shared" si="4"/>
        <v>287872.92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554619.17000000004</v>
      </c>
      <c r="G240" s="18">
        <v>275875.39</v>
      </c>
      <c r="H240" s="18">
        <f>47537.39+11299.96</f>
        <v>58837.35</v>
      </c>
      <c r="I240" s="18">
        <v>17382.14</v>
      </c>
      <c r="J240" s="18">
        <v>4449.78</v>
      </c>
      <c r="K240" s="18">
        <v>6399</v>
      </c>
      <c r="L240" s="19">
        <f t="shared" si="4"/>
        <v>917562.83000000007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146598.87</v>
      </c>
      <c r="G241" s="18">
        <v>70312.09</v>
      </c>
      <c r="H241" s="18">
        <v>53284.46</v>
      </c>
      <c r="I241" s="18">
        <f>7094.31</f>
        <v>7094.31</v>
      </c>
      <c r="J241" s="18">
        <v>1631.55</v>
      </c>
      <c r="K241" s="18"/>
      <c r="L241" s="19">
        <f t="shared" si="4"/>
        <v>278921.27999999997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364820.38+106675.82</f>
        <v>471496.2</v>
      </c>
      <c r="G242" s="18">
        <f>170982.18+32326.72</f>
        <v>203308.9</v>
      </c>
      <c r="H242" s="18">
        <f>229868.93+176694.43+5332.02</f>
        <v>411895.38</v>
      </c>
      <c r="I242" s="18">
        <f>341297.32+17028.65+7426.81</f>
        <v>365752.78</v>
      </c>
      <c r="J242" s="18">
        <f>6191.18</f>
        <v>6191.18</v>
      </c>
      <c r="K242" s="18"/>
      <c r="L242" s="19">
        <f t="shared" si="4"/>
        <v>1458644.44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10297.65+406900.88+190132.11+13488.38+63629.28</f>
        <v>684448.3</v>
      </c>
      <c r="I243" s="18"/>
      <c r="J243" s="18"/>
      <c r="K243" s="18"/>
      <c r="L243" s="19">
        <f t="shared" si="4"/>
        <v>684448.3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8368101.4100000001</v>
      </c>
      <c r="G246" s="41">
        <f t="shared" si="5"/>
        <v>3592087.9500000007</v>
      </c>
      <c r="H246" s="41">
        <f t="shared" si="5"/>
        <v>2004569.3099999998</v>
      </c>
      <c r="I246" s="41">
        <f t="shared" si="5"/>
        <v>740716.16999999993</v>
      </c>
      <c r="J246" s="41">
        <f t="shared" si="5"/>
        <v>131469.82999999999</v>
      </c>
      <c r="K246" s="41">
        <f t="shared" si="5"/>
        <v>33717.550000000003</v>
      </c>
      <c r="L246" s="41">
        <f t="shared" si="5"/>
        <v>14870662.219999999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38168.32+132350-0.01</f>
        <v>170518.31</v>
      </c>
      <c r="I254" s="18"/>
      <c r="J254" s="18"/>
      <c r="K254" s="18"/>
      <c r="L254" s="19">
        <f t="shared" si="6"/>
        <v>170518.31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170518.31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170518.31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22648117.629999999</v>
      </c>
      <c r="G256" s="41">
        <f t="shared" si="8"/>
        <v>9836812.0399999991</v>
      </c>
      <c r="H256" s="41">
        <f t="shared" si="8"/>
        <v>5146635.3399999989</v>
      </c>
      <c r="I256" s="41">
        <f t="shared" si="8"/>
        <v>1910073.6199999999</v>
      </c>
      <c r="J256" s="41">
        <f t="shared" si="8"/>
        <v>465547.15999999992</v>
      </c>
      <c r="K256" s="41">
        <f t="shared" si="8"/>
        <v>59367.9</v>
      </c>
      <c r="L256" s="41">
        <f t="shared" si="8"/>
        <v>40066553.689999998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1093503.47</v>
      </c>
      <c r="L259" s="19">
        <f>SUM(F259:K259)</f>
        <v>1093503.47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298120.73</f>
        <v>298120.73</v>
      </c>
      <c r="L260" s="19">
        <f>SUM(F260:K260)</f>
        <v>298120.73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1391624.2</v>
      </c>
      <c r="L269" s="41">
        <f t="shared" si="9"/>
        <v>1391624.2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22648117.629999999</v>
      </c>
      <c r="G270" s="42">
        <f t="shared" si="11"/>
        <v>9836812.0399999991</v>
      </c>
      <c r="H270" s="42">
        <f t="shared" si="11"/>
        <v>5146635.3399999989</v>
      </c>
      <c r="I270" s="42">
        <f t="shared" si="11"/>
        <v>1910073.6199999999</v>
      </c>
      <c r="J270" s="42">
        <f t="shared" si="11"/>
        <v>465547.15999999992</v>
      </c>
      <c r="K270" s="42">
        <f t="shared" si="11"/>
        <v>1450992.0999999999</v>
      </c>
      <c r="L270" s="42">
        <f t="shared" si="11"/>
        <v>41458177.890000001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217579.76</f>
        <v>217579.76</v>
      </c>
      <c r="G275" s="18">
        <f>18125.02</f>
        <v>18125.02</v>
      </c>
      <c r="H275" s="18">
        <f>81787.17</f>
        <v>81787.17</v>
      </c>
      <c r="I275" s="18">
        <f>1518.65</f>
        <v>1518.65</v>
      </c>
      <c r="J275" s="18">
        <f>1048.5</f>
        <v>1048.5</v>
      </c>
      <c r="K275" s="18">
        <f>8007.53</f>
        <v>8007.53</v>
      </c>
      <c r="L275" s="19">
        <f>SUM(F275:K275)</f>
        <v>328066.63000000006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83154.1</f>
        <v>83154.100000000006</v>
      </c>
      <c r="G276" s="18">
        <f>6912.04</f>
        <v>6912.04</v>
      </c>
      <c r="H276" s="18">
        <f>21123.6</f>
        <v>21123.599999999999</v>
      </c>
      <c r="I276" s="18">
        <f>157.9</f>
        <v>157.9</v>
      </c>
      <c r="J276" s="18">
        <f>143.59</f>
        <v>143.59</v>
      </c>
      <c r="K276" s="18">
        <f>2838.88</f>
        <v>2838.88</v>
      </c>
      <c r="L276" s="19">
        <f>SUM(F276:K276)</f>
        <v>114330.10999999999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114533.82</f>
        <v>114533.82</v>
      </c>
      <c r="G280" s="18">
        <v>62927.45</v>
      </c>
      <c r="H280" s="18">
        <v>14965.47</v>
      </c>
      <c r="I280" s="18">
        <v>1178.95</v>
      </c>
      <c r="J280" s="18"/>
      <c r="K280" s="18">
        <v>2363.9299999999998</v>
      </c>
      <c r="L280" s="19">
        <f t="shared" ref="L280:L286" si="12">SUM(F280:K280)</f>
        <v>195969.62000000002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24090.15</v>
      </c>
      <c r="G281" s="18">
        <v>1842.91</v>
      </c>
      <c r="H281" s="18">
        <v>5116.82</v>
      </c>
      <c r="I281" s="18"/>
      <c r="J281" s="18"/>
      <c r="K281" s="18">
        <f>899.08+0.01</f>
        <v>899.09</v>
      </c>
      <c r="L281" s="19">
        <f t="shared" si="12"/>
        <v>31948.97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439357.83</v>
      </c>
      <c r="G289" s="42">
        <f t="shared" si="13"/>
        <v>89807.42</v>
      </c>
      <c r="H289" s="42">
        <f t="shared" si="13"/>
        <v>122993.06</v>
      </c>
      <c r="I289" s="42">
        <f t="shared" si="13"/>
        <v>2855.5</v>
      </c>
      <c r="J289" s="42">
        <f t="shared" si="13"/>
        <v>1192.0899999999999</v>
      </c>
      <c r="K289" s="42">
        <f t="shared" si="13"/>
        <v>14109.43</v>
      </c>
      <c r="L289" s="41">
        <f t="shared" si="13"/>
        <v>670315.33000000007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45326.93</f>
        <v>45326.93</v>
      </c>
      <c r="G294" s="18">
        <f>15565.18</f>
        <v>15565.18</v>
      </c>
      <c r="H294" s="18">
        <f>44220.48</f>
        <v>44220.480000000003</v>
      </c>
      <c r="I294" s="18">
        <f>751.6</f>
        <v>751.6</v>
      </c>
      <c r="J294" s="18">
        <f>83.76</f>
        <v>83.76</v>
      </c>
      <c r="K294" s="18">
        <f>1754.19</f>
        <v>1754.19</v>
      </c>
      <c r="L294" s="19">
        <f>SUM(F294:K294)</f>
        <v>107702.14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60244.38</f>
        <v>60244.38</v>
      </c>
      <c r="G295" s="18">
        <f>8409.37</f>
        <v>8409.3700000000008</v>
      </c>
      <c r="H295" s="18">
        <f>13843.71</f>
        <v>13843.71</v>
      </c>
      <c r="I295" s="18">
        <f>103.49</f>
        <v>103.49</v>
      </c>
      <c r="J295" s="18">
        <f>94.1</f>
        <v>94.1</v>
      </c>
      <c r="K295" s="18">
        <f>2223.76</f>
        <v>2223.7600000000002</v>
      </c>
      <c r="L295" s="19">
        <f>SUM(F295:K295)</f>
        <v>84918.81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42331.32</f>
        <v>42331.32</v>
      </c>
      <c r="G299" s="18">
        <f>19929.26</f>
        <v>19929.259999999998</v>
      </c>
      <c r="H299" s="18">
        <f>8551.7</f>
        <v>8551.7000000000007</v>
      </c>
      <c r="I299" s="18">
        <f>673.69</f>
        <v>673.69</v>
      </c>
      <c r="J299" s="18"/>
      <c r="K299" s="18">
        <f>2478.45+0.01</f>
        <v>2478.46</v>
      </c>
      <c r="L299" s="19">
        <f t="shared" ref="L299:L305" si="14">SUM(F299:K299)</f>
        <v>73964.430000000008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13765.8</v>
      </c>
      <c r="G300" s="18">
        <v>1053.0899999999999</v>
      </c>
      <c r="H300" s="18">
        <v>2923.9</v>
      </c>
      <c r="I300" s="18"/>
      <c r="J300" s="18"/>
      <c r="K300" s="18">
        <f>505.07+0.01</f>
        <v>505.08</v>
      </c>
      <c r="L300" s="19">
        <f t="shared" si="14"/>
        <v>18247.870000000003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161668.43</v>
      </c>
      <c r="G308" s="42">
        <f t="shared" si="15"/>
        <v>44956.899999999994</v>
      </c>
      <c r="H308" s="42">
        <f t="shared" si="15"/>
        <v>69539.789999999994</v>
      </c>
      <c r="I308" s="42">
        <f t="shared" si="15"/>
        <v>1528.7800000000002</v>
      </c>
      <c r="J308" s="42">
        <f t="shared" si="15"/>
        <v>177.86</v>
      </c>
      <c r="K308" s="42">
        <f t="shared" si="15"/>
        <v>6961.49</v>
      </c>
      <c r="L308" s="41">
        <f t="shared" si="15"/>
        <v>284833.25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62883.519999999997</v>
      </c>
      <c r="G313" s="18">
        <v>15921.68</v>
      </c>
      <c r="H313" s="18">
        <v>64716.56</v>
      </c>
      <c r="I313" s="18">
        <v>2985.53</v>
      </c>
      <c r="J313" s="18">
        <v>4349.3599999999997</v>
      </c>
      <c r="K313" s="18">
        <v>2568.61</v>
      </c>
      <c r="L313" s="19">
        <f>SUM(F313:K313)</f>
        <v>153425.25999999998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176608.59</v>
      </c>
      <c r="G314" s="18">
        <v>69279.39</v>
      </c>
      <c r="H314" s="18">
        <v>22555.71</v>
      </c>
      <c r="I314" s="18">
        <v>168.61</v>
      </c>
      <c r="J314" s="18">
        <v>153.37</v>
      </c>
      <c r="K314" s="18">
        <v>7315.3</v>
      </c>
      <c r="L314" s="19">
        <f>SUM(F314:K314)</f>
        <v>276080.96999999997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109710+13580</f>
        <v>123290</v>
      </c>
      <c r="G315" s="18">
        <f>25710.83+916.03</f>
        <v>26626.86</v>
      </c>
      <c r="H315" s="18">
        <f>18713.63+12679.57+309.34</f>
        <v>31702.54</v>
      </c>
      <c r="I315" s="18">
        <f>10789.51+160964.1+497.57+6684.06</f>
        <v>178935.24000000002</v>
      </c>
      <c r="J315" s="18">
        <f>24695.03+953+42633.41+17358</f>
        <v>85639.44</v>
      </c>
      <c r="K315" s="18">
        <v>5570.93</v>
      </c>
      <c r="L315" s="19">
        <f>SUM(F315:K315)</f>
        <v>451765.01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59969.38</v>
      </c>
      <c r="G318" s="18">
        <v>28233.119999999999</v>
      </c>
      <c r="H318" s="18">
        <v>12614.91</v>
      </c>
      <c r="I318" s="18">
        <v>1916.39</v>
      </c>
      <c r="J318" s="18"/>
      <c r="K318" s="18">
        <v>12941.91</v>
      </c>
      <c r="L318" s="19">
        <f t="shared" ref="L318:L324" si="16">SUM(F318:K318)</f>
        <v>115675.71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19501.55</v>
      </c>
      <c r="G319" s="18">
        <v>1491.88</v>
      </c>
      <c r="H319" s="18">
        <v>4142.1899999999996</v>
      </c>
      <c r="I319" s="18"/>
      <c r="J319" s="18"/>
      <c r="K319" s="18">
        <f>726.48</f>
        <v>726.48</v>
      </c>
      <c r="L319" s="19">
        <f t="shared" si="16"/>
        <v>25862.1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442253.04</v>
      </c>
      <c r="G327" s="42">
        <f t="shared" si="17"/>
        <v>141552.93000000002</v>
      </c>
      <c r="H327" s="42">
        <f t="shared" si="17"/>
        <v>135731.91</v>
      </c>
      <c r="I327" s="42">
        <f t="shared" si="17"/>
        <v>184005.77000000005</v>
      </c>
      <c r="J327" s="42">
        <f t="shared" si="17"/>
        <v>90142.17</v>
      </c>
      <c r="K327" s="42">
        <f t="shared" si="17"/>
        <v>29123.23</v>
      </c>
      <c r="L327" s="41">
        <f t="shared" si="17"/>
        <v>1022809.0499999999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9320.6</f>
        <v>9320.6</v>
      </c>
      <c r="G332" s="18">
        <v>1650.83</v>
      </c>
      <c r="H332" s="18">
        <f>47410+5687.06</f>
        <v>53097.06</v>
      </c>
      <c r="I332" s="18"/>
      <c r="J332" s="18"/>
      <c r="K332" s="18">
        <v>1167.6300000000001</v>
      </c>
      <c r="L332" s="19">
        <f t="shared" si="18"/>
        <v>65236.119999999995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9320.6</v>
      </c>
      <c r="G336" s="41">
        <f t="shared" si="19"/>
        <v>1650.83</v>
      </c>
      <c r="H336" s="41">
        <f t="shared" si="19"/>
        <v>53097.06</v>
      </c>
      <c r="I336" s="41">
        <f t="shared" si="19"/>
        <v>0</v>
      </c>
      <c r="J336" s="41">
        <f t="shared" si="19"/>
        <v>0</v>
      </c>
      <c r="K336" s="41">
        <f t="shared" si="19"/>
        <v>1167.6300000000001</v>
      </c>
      <c r="L336" s="41">
        <f t="shared" si="18"/>
        <v>65236.119999999995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1052599.9000000001</v>
      </c>
      <c r="G337" s="41">
        <f t="shared" si="20"/>
        <v>277968.08</v>
      </c>
      <c r="H337" s="41">
        <f t="shared" si="20"/>
        <v>381361.82</v>
      </c>
      <c r="I337" s="41">
        <f t="shared" si="20"/>
        <v>188390.05000000005</v>
      </c>
      <c r="J337" s="41">
        <f t="shared" si="20"/>
        <v>91512.12</v>
      </c>
      <c r="K337" s="41">
        <f t="shared" si="20"/>
        <v>51361.779999999992</v>
      </c>
      <c r="L337" s="41">
        <f t="shared" si="20"/>
        <v>2043193.75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1052599.9000000001</v>
      </c>
      <c r="G351" s="41">
        <f>G337</f>
        <v>277968.08</v>
      </c>
      <c r="H351" s="41">
        <f>H337</f>
        <v>381361.82</v>
      </c>
      <c r="I351" s="41">
        <f>I337</f>
        <v>188390.05000000005</v>
      </c>
      <c r="J351" s="41">
        <f>J337</f>
        <v>91512.12</v>
      </c>
      <c r="K351" s="47">
        <f>K337+K350</f>
        <v>51361.779999999992</v>
      </c>
      <c r="L351" s="41">
        <f>L337+L350</f>
        <v>2043193.75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184782.09+43729.92</f>
        <v>228512.01</v>
      </c>
      <c r="G357" s="18">
        <f>86402.24+12251.96</f>
        <v>98654.200000000012</v>
      </c>
      <c r="H357" s="18">
        <f>9100.63+1326.94</f>
        <v>10427.57</v>
      </c>
      <c r="I357" s="18">
        <f>15991.29+162167.78+723.03+270.84</f>
        <v>179152.94</v>
      </c>
      <c r="J357" s="18">
        <f>86693.8+15026.52</f>
        <v>101720.32000000001</v>
      </c>
      <c r="K357" s="18">
        <f>1836.04+2386.68</f>
        <v>4222.7199999999993</v>
      </c>
      <c r="L357" s="13">
        <f>SUM(F357:K357)</f>
        <v>622689.76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70805.55+25033.6</f>
        <v>95839.15</v>
      </c>
      <c r="G358" s="18">
        <f>18448.21+7013.75</f>
        <v>25461.96</v>
      </c>
      <c r="H358" s="18">
        <f>12610.54+759.62</f>
        <v>13370.160000000002</v>
      </c>
      <c r="I358" s="18">
        <f>9417.95+104701.81+413.91+155.04</f>
        <v>114688.70999999999</v>
      </c>
      <c r="J358" s="18">
        <f>14330+8602.07</f>
        <v>22932.07</v>
      </c>
      <c r="K358" s="18">
        <f>650.13+1366.28</f>
        <v>2016.4099999999999</v>
      </c>
      <c r="L358" s="19">
        <f>SUM(F358:K358)</f>
        <v>274308.45999999996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83200.93+36445.98</f>
        <v>119646.91</v>
      </c>
      <c r="G359" s="18">
        <f>33260.44+10211.19</f>
        <v>43471.630000000005</v>
      </c>
      <c r="H359" s="18">
        <f>5175.22+1105.92</f>
        <v>6281.14</v>
      </c>
      <c r="I359" s="18">
        <f>9764.28+166874.51+602.6+225.73</f>
        <v>177467.12000000002</v>
      </c>
      <c r="J359" s="18">
        <f>4735.24+12523.6</f>
        <v>17258.84</v>
      </c>
      <c r="K359" s="18">
        <f>826.09+1989.14</f>
        <v>2815.23</v>
      </c>
      <c r="L359" s="19">
        <f>SUM(F359:K359)</f>
        <v>366940.87000000005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443998.07000000007</v>
      </c>
      <c r="G361" s="47">
        <f t="shared" si="22"/>
        <v>167587.79</v>
      </c>
      <c r="H361" s="47">
        <f t="shared" si="22"/>
        <v>30078.870000000003</v>
      </c>
      <c r="I361" s="47">
        <f t="shared" si="22"/>
        <v>471308.77</v>
      </c>
      <c r="J361" s="47">
        <f t="shared" si="22"/>
        <v>141911.23000000001</v>
      </c>
      <c r="K361" s="47">
        <f t="shared" si="22"/>
        <v>9054.3599999999988</v>
      </c>
      <c r="L361" s="47">
        <f t="shared" si="22"/>
        <v>1263939.0900000001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162167.78+270.84</f>
        <v>162438.62</v>
      </c>
      <c r="G366" s="18">
        <f>104701.81+155.04</f>
        <v>104856.84999999999</v>
      </c>
      <c r="H366" s="18">
        <f>166874.51+225.73</f>
        <v>167100.24000000002</v>
      </c>
      <c r="I366" s="56">
        <f>SUM(F366:H366)</f>
        <v>434395.70999999996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15991.29+723.03</f>
        <v>16714.32</v>
      </c>
      <c r="G367" s="63">
        <f>9417.95+413.91</f>
        <v>9831.86</v>
      </c>
      <c r="H367" s="63">
        <f>9764.28+602.6</f>
        <v>10366.880000000001</v>
      </c>
      <c r="I367" s="56">
        <f>SUM(F367:H367)</f>
        <v>36913.06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179152.94</v>
      </c>
      <c r="G368" s="47">
        <f>SUM(G366:G367)</f>
        <v>114688.70999999999</v>
      </c>
      <c r="H368" s="47">
        <f>SUM(H366:H367)</f>
        <v>177467.12000000002</v>
      </c>
      <c r="I368" s="47">
        <f>SUM(I366:I367)</f>
        <v>471308.76999999996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237.04</v>
      </c>
      <c r="I387" s="18"/>
      <c r="J387" s="24" t="s">
        <v>289</v>
      </c>
      <c r="K387" s="24" t="s">
        <v>289</v>
      </c>
      <c r="L387" s="56">
        <f t="shared" si="25"/>
        <v>237.04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5280.06+2.67</f>
        <v>5282.7300000000005</v>
      </c>
      <c r="I388" s="18"/>
      <c r="J388" s="24" t="s">
        <v>289</v>
      </c>
      <c r="K388" s="24" t="s">
        <v>289</v>
      </c>
      <c r="L388" s="56">
        <f t="shared" si="25"/>
        <v>5282.7300000000005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>
        <v>200312.85</v>
      </c>
      <c r="J391" s="24" t="s">
        <v>289</v>
      </c>
      <c r="K391" s="24" t="s">
        <v>289</v>
      </c>
      <c r="L391" s="56">
        <f t="shared" si="25"/>
        <v>200312.85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5519.77</v>
      </c>
      <c r="I392" s="65">
        <f>SUM(I386:I391)</f>
        <v>200312.85</v>
      </c>
      <c r="J392" s="45" t="s">
        <v>289</v>
      </c>
      <c r="K392" s="45" t="s">
        <v>289</v>
      </c>
      <c r="L392" s="47">
        <f>SUM(L386:L391)</f>
        <v>205832.62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1525.2</v>
      </c>
      <c r="I396" s="18"/>
      <c r="J396" s="24" t="s">
        <v>289</v>
      </c>
      <c r="K396" s="24" t="s">
        <v>289</v>
      </c>
      <c r="L396" s="56">
        <f t="shared" si="26"/>
        <v>1525.2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9.35+0.01</f>
        <v>9.36</v>
      </c>
      <c r="I399" s="18"/>
      <c r="J399" s="24" t="s">
        <v>289</v>
      </c>
      <c r="K399" s="24" t="s">
        <v>289</v>
      </c>
      <c r="L399" s="56">
        <f t="shared" si="26"/>
        <v>9.36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1534.56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1534.56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7054.33</v>
      </c>
      <c r="I407" s="47">
        <f>I392+I400+I406</f>
        <v>200312.85</v>
      </c>
      <c r="J407" s="24" t="s">
        <v>289</v>
      </c>
      <c r="K407" s="24" t="s">
        <v>289</v>
      </c>
      <c r="L407" s="47">
        <f>L392+L400+L406</f>
        <v>207367.18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63412.05</v>
      </c>
      <c r="I425" s="18"/>
      <c r="J425" s="18">
        <f>9126.64+81624.4+37995</f>
        <v>128746.04</v>
      </c>
      <c r="K425" s="18">
        <f>6654.76+1500</f>
        <v>8154.76</v>
      </c>
      <c r="L425" s="56">
        <f t="shared" si="29"/>
        <v>200312.85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63412.05</v>
      </c>
      <c r="I426" s="47">
        <f t="shared" si="30"/>
        <v>0</v>
      </c>
      <c r="J426" s="47">
        <f t="shared" si="30"/>
        <v>128746.04</v>
      </c>
      <c r="K426" s="47">
        <f t="shared" si="30"/>
        <v>8154.76</v>
      </c>
      <c r="L426" s="47">
        <f t="shared" si="30"/>
        <v>200312.85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63412.05</v>
      </c>
      <c r="I433" s="47">
        <f t="shared" si="32"/>
        <v>0</v>
      </c>
      <c r="J433" s="47">
        <f t="shared" si="32"/>
        <v>128746.04</v>
      </c>
      <c r="K433" s="47">
        <f t="shared" si="32"/>
        <v>8154.76</v>
      </c>
      <c r="L433" s="47">
        <f t="shared" si="32"/>
        <v>200312.85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438550.17</v>
      </c>
      <c r="G438" s="18">
        <f>678864.39-438550.17-776.89</f>
        <v>239537.33000000002</v>
      </c>
      <c r="H438" s="18">
        <v>776.89</v>
      </c>
      <c r="I438" s="56">
        <f t="shared" ref="I438:I444" si="33">SUM(F438:H438)</f>
        <v>678864.39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f>1394.93</f>
        <v>1394.93</v>
      </c>
      <c r="H440" s="18"/>
      <c r="I440" s="56">
        <f t="shared" si="33"/>
        <v>1394.93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438550.17</v>
      </c>
      <c r="G445" s="13">
        <f>SUM(G438:G444)</f>
        <v>240932.26</v>
      </c>
      <c r="H445" s="13">
        <f>SUM(H438:H444)</f>
        <v>776.89</v>
      </c>
      <c r="I445" s="13">
        <f>SUM(I438:I444)</f>
        <v>680259.32000000007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438550.17</v>
      </c>
      <c r="G458" s="18">
        <v>240932.26</v>
      </c>
      <c r="H458" s="18">
        <v>776.89</v>
      </c>
      <c r="I458" s="56">
        <f t="shared" si="34"/>
        <v>680259.32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438550.17</v>
      </c>
      <c r="G459" s="83">
        <f>SUM(G453:G458)</f>
        <v>240932.26</v>
      </c>
      <c r="H459" s="83">
        <f>SUM(H453:H458)</f>
        <v>776.89</v>
      </c>
      <c r="I459" s="83">
        <f>SUM(I453:I458)</f>
        <v>680259.32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438550.17</v>
      </c>
      <c r="G460" s="42">
        <f>G451+G459</f>
        <v>240932.26</v>
      </c>
      <c r="H460" s="42">
        <f>H451+H459</f>
        <v>776.89</v>
      </c>
      <c r="I460" s="42">
        <f>I451+I459</f>
        <v>680259.32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708624.24</v>
      </c>
      <c r="G464" s="18">
        <v>220129.99</v>
      </c>
      <c r="H464" s="18">
        <v>243995.1</v>
      </c>
      <c r="I464" s="18"/>
      <c r="J464" s="18">
        <v>673204.99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41182518.649999999</v>
      </c>
      <c r="G467" s="18">
        <f>1328672.9-83529.93</f>
        <v>1245142.97</v>
      </c>
      <c r="H467" s="18">
        <f>1780931.58+189191.07+101328.97</f>
        <v>2071451.62</v>
      </c>
      <c r="I467" s="18"/>
      <c r="J467" s="18">
        <f>200312.85+7054.33</f>
        <v>207367.18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41182518.649999999</v>
      </c>
      <c r="G469" s="53">
        <f>SUM(G467:G468)</f>
        <v>1245142.97</v>
      </c>
      <c r="H469" s="53">
        <f>SUM(H467:H468)</f>
        <v>2071451.62</v>
      </c>
      <c r="I469" s="53">
        <f>SUM(I467:I468)</f>
        <v>0</v>
      </c>
      <c r="J469" s="53">
        <f>SUM(J467:J468)</f>
        <v>207367.18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41458177.890000001</v>
      </c>
      <c r="G471" s="18">
        <f>1347469.02-83529.93</f>
        <v>1263939.0900000001</v>
      </c>
      <c r="H471" s="18">
        <f>1780931.58+166780.78+95481.39</f>
        <v>2043193.75</v>
      </c>
      <c r="I471" s="18"/>
      <c r="J471" s="18">
        <v>200312.85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41458177.890000001</v>
      </c>
      <c r="G473" s="53">
        <f>SUM(G471:G472)</f>
        <v>1263939.0900000001</v>
      </c>
      <c r="H473" s="53">
        <f>SUM(H471:H472)</f>
        <v>2043193.75</v>
      </c>
      <c r="I473" s="53">
        <f>SUM(I471:I472)</f>
        <v>0</v>
      </c>
      <c r="J473" s="53">
        <f>SUM(J471:J472)</f>
        <v>200312.85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432965</v>
      </c>
      <c r="G475" s="53">
        <f>(G464+G469)- G473</f>
        <v>201333.86999999988</v>
      </c>
      <c r="H475" s="53">
        <f>(H464+H469)- H473</f>
        <v>272252.9700000002</v>
      </c>
      <c r="I475" s="53">
        <f>(I464+I469)- I473</f>
        <v>0</v>
      </c>
      <c r="J475" s="53">
        <f>(J464+J469)- J473</f>
        <v>680259.32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12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8220000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2.7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8105000</v>
      </c>
      <c r="G494" s="18"/>
      <c r="H494" s="18"/>
      <c r="I494" s="18"/>
      <c r="J494" s="18"/>
      <c r="K494" s="53">
        <f>SUM(F494:J494)</f>
        <v>8105000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F494-F497</f>
        <v>905000</v>
      </c>
      <c r="G496" s="18"/>
      <c r="H496" s="18"/>
      <c r="I496" s="18"/>
      <c r="J496" s="18"/>
      <c r="K496" s="53">
        <f t="shared" si="35"/>
        <v>905000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7200000</v>
      </c>
      <c r="G497" s="205"/>
      <c r="H497" s="205"/>
      <c r="I497" s="205"/>
      <c r="J497" s="205"/>
      <c r="K497" s="206">
        <f t="shared" si="35"/>
        <v>7200000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1236165.7-226906.26</f>
        <v>1009259.44</v>
      </c>
      <c r="G498" s="18"/>
      <c r="H498" s="18"/>
      <c r="I498" s="18"/>
      <c r="J498" s="18"/>
      <c r="K498" s="53">
        <f t="shared" si="35"/>
        <v>1009259.44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8209259.4399999995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8209259.4399999995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890000</v>
      </c>
      <c r="G500" s="205"/>
      <c r="H500" s="205"/>
      <c r="I500" s="205"/>
      <c r="J500" s="205"/>
      <c r="K500" s="206">
        <f t="shared" si="35"/>
        <v>890000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201543.76</v>
      </c>
      <c r="G501" s="18"/>
      <c r="H501" s="18"/>
      <c r="I501" s="18"/>
      <c r="J501" s="18"/>
      <c r="K501" s="53">
        <f t="shared" si="35"/>
        <v>201543.76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1091543.76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1091543.76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1682982.41</v>
      </c>
      <c r="G506" s="144">
        <f>199836+29077.79+67921.68+1615273.05+243360.26</f>
        <v>2155468.7800000003</v>
      </c>
      <c r="H506" s="144">
        <v>-1682382.41</v>
      </c>
      <c r="I506" s="144">
        <v>2155468.7799999998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1547267.19</v>
      </c>
      <c r="G520" s="18">
        <v>498792.34</v>
      </c>
      <c r="H520" s="18">
        <f>349201.17+10138.3</f>
        <v>359339.47</v>
      </c>
      <c r="I520" s="18">
        <f>14788.35</f>
        <v>14788.35</v>
      </c>
      <c r="J520" s="18">
        <v>6823.53</v>
      </c>
      <c r="K520" s="18">
        <v>2958.88</v>
      </c>
      <c r="L520" s="88">
        <f>SUM(F520:K520)</f>
        <v>2429969.7599999998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1021306.06</v>
      </c>
      <c r="G521" s="18">
        <v>413673.14</v>
      </c>
      <c r="H521" s="18">
        <f>230534.48+6644.31</f>
        <v>237178.79</v>
      </c>
      <c r="I521" s="18">
        <f>15626.63</f>
        <v>15626.63</v>
      </c>
      <c r="J521" s="18">
        <v>9647.98</v>
      </c>
      <c r="K521" s="18">
        <f>2223.76+0.01</f>
        <v>2223.7700000000004</v>
      </c>
      <c r="L521" s="88">
        <f>SUM(F521:K521)</f>
        <v>1699656.37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1501007.16</v>
      </c>
      <c r="G522" s="18">
        <v>541997.37</v>
      </c>
      <c r="H522" s="18">
        <f>373219.55+10825.64</f>
        <v>384045.19</v>
      </c>
      <c r="I522" s="18">
        <f>6438.67</f>
        <v>6438.67</v>
      </c>
      <c r="J522" s="18">
        <v>2403.13</v>
      </c>
      <c r="K522" s="18">
        <f>7890.3+0.01</f>
        <v>7890.31</v>
      </c>
      <c r="L522" s="88">
        <f>SUM(F522:K522)</f>
        <v>2443781.8299999996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4069580.41</v>
      </c>
      <c r="G523" s="108">
        <f t="shared" ref="G523:L523" si="36">SUM(G520:G522)</f>
        <v>1454462.85</v>
      </c>
      <c r="H523" s="108">
        <f t="shared" si="36"/>
        <v>980563.45</v>
      </c>
      <c r="I523" s="108">
        <f t="shared" si="36"/>
        <v>36853.65</v>
      </c>
      <c r="J523" s="108">
        <f t="shared" si="36"/>
        <v>18874.64</v>
      </c>
      <c r="K523" s="108">
        <f t="shared" si="36"/>
        <v>13072.960000000001</v>
      </c>
      <c r="L523" s="89">
        <f t="shared" si="36"/>
        <v>6573407.959999999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275563.53+44315.61+40454</f>
        <v>360333.14</v>
      </c>
      <c r="G525" s="18">
        <f>122111.38+14315.01+28051.24</f>
        <v>164477.63</v>
      </c>
      <c r="H525" s="18">
        <f>85939.55+14293.47</f>
        <v>100233.02</v>
      </c>
      <c r="I525" s="18">
        <f>2607.89+5438.09</f>
        <v>8045.98</v>
      </c>
      <c r="J525" s="18">
        <v>503.58</v>
      </c>
      <c r="K525" s="18">
        <v>216.3</v>
      </c>
      <c r="L525" s="88">
        <f>SUM(F525:K525)</f>
        <v>633809.65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157464.88+67458.77+57808</f>
        <v>282731.65000000002</v>
      </c>
      <c r="G526" s="18">
        <f>69777.93+51529.57+25227.16</f>
        <v>146534.66</v>
      </c>
      <c r="H526" s="18">
        <f>49108.31+8167.7</f>
        <v>57276.009999999995</v>
      </c>
      <c r="I526" s="18">
        <f>1490.22+348.22</f>
        <v>1838.44</v>
      </c>
      <c r="J526" s="18">
        <v>287.76</v>
      </c>
      <c r="K526" s="18">
        <v>123.6</v>
      </c>
      <c r="L526" s="88">
        <f>SUM(F526:K526)</f>
        <v>488792.12000000005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223075.24+113325</f>
        <v>336400.24</v>
      </c>
      <c r="G527" s="18">
        <f>98852.07+57410.01</f>
        <v>156262.08000000002</v>
      </c>
      <c r="H527" s="18">
        <f>69570.11+11570.91</f>
        <v>81141.02</v>
      </c>
      <c r="I527" s="18">
        <f>2111.15+548.95</f>
        <v>2660.1000000000004</v>
      </c>
      <c r="J527" s="18">
        <v>407.66</v>
      </c>
      <c r="K527" s="18">
        <v>175.1</v>
      </c>
      <c r="L527" s="88">
        <f>SUM(F527:K527)</f>
        <v>577046.19999999995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979465.03</v>
      </c>
      <c r="G528" s="89">
        <f t="shared" ref="G528:L528" si="37">SUM(G525:G527)</f>
        <v>467274.37000000005</v>
      </c>
      <c r="H528" s="89">
        <f t="shared" si="37"/>
        <v>238650.05</v>
      </c>
      <c r="I528" s="89">
        <f t="shared" si="37"/>
        <v>12544.52</v>
      </c>
      <c r="J528" s="89">
        <f t="shared" si="37"/>
        <v>1199</v>
      </c>
      <c r="K528" s="89">
        <f t="shared" si="37"/>
        <v>515</v>
      </c>
      <c r="L528" s="89">
        <f t="shared" si="37"/>
        <v>1699647.97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67461.350000000006</v>
      </c>
      <c r="G530" s="18">
        <v>20697.150000000001</v>
      </c>
      <c r="H530" s="18">
        <v>648.63</v>
      </c>
      <c r="I530" s="18">
        <v>1563.17</v>
      </c>
      <c r="J530" s="18">
        <v>364.43</v>
      </c>
      <c r="K530" s="18">
        <v>91.8</v>
      </c>
      <c r="L530" s="88">
        <f>SUM(F530:K530)</f>
        <v>90826.53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44211.96</v>
      </c>
      <c r="G531" s="18">
        <v>13564.24</v>
      </c>
      <c r="H531" s="18">
        <v>359.55</v>
      </c>
      <c r="I531" s="18">
        <v>1024.45</v>
      </c>
      <c r="J531" s="18">
        <v>238.83</v>
      </c>
      <c r="K531" s="18">
        <v>60.17</v>
      </c>
      <c r="L531" s="88">
        <f>SUM(F531:K531)</f>
        <v>59459.199999999997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72035</v>
      </c>
      <c r="G532" s="18">
        <v>22100.35</v>
      </c>
      <c r="H532" s="18">
        <v>585.82000000000005</v>
      </c>
      <c r="I532" s="18">
        <v>1669.14</v>
      </c>
      <c r="J532" s="18">
        <v>389.14</v>
      </c>
      <c r="K532" s="18">
        <v>98.03</v>
      </c>
      <c r="L532" s="88">
        <f>SUM(F532:K532)</f>
        <v>96877.48000000001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183708.31</v>
      </c>
      <c r="G533" s="89">
        <f t="shared" ref="G533:L533" si="38">SUM(G530:G532)</f>
        <v>56361.74</v>
      </c>
      <c r="H533" s="89">
        <f t="shared" si="38"/>
        <v>1594</v>
      </c>
      <c r="I533" s="89">
        <f t="shared" si="38"/>
        <v>4256.76</v>
      </c>
      <c r="J533" s="89">
        <f t="shared" si="38"/>
        <v>992.4</v>
      </c>
      <c r="K533" s="89">
        <f t="shared" si="38"/>
        <v>250</v>
      </c>
      <c r="L533" s="89">
        <f t="shared" si="38"/>
        <v>247163.21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10138.299999999999</v>
      </c>
      <c r="I535" s="18"/>
      <c r="J535" s="18"/>
      <c r="K535" s="18"/>
      <c r="L535" s="88">
        <f>SUM(F535:K535)</f>
        <v>10138.299999999999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6644.31</v>
      </c>
      <c r="I536" s="18"/>
      <c r="J536" s="18"/>
      <c r="K536" s="18"/>
      <c r="L536" s="88">
        <f>SUM(F536:K536)</f>
        <v>6644.31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10825.64-0.01</f>
        <v>10825.63</v>
      </c>
      <c r="I537" s="18"/>
      <c r="J537" s="18"/>
      <c r="K537" s="18"/>
      <c r="L537" s="88">
        <f>SUM(F537:K537)</f>
        <v>10825.63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27608.239999999998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27608.239999999998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178060.23</v>
      </c>
      <c r="I540" s="18"/>
      <c r="J540" s="18"/>
      <c r="K540" s="18"/>
      <c r="L540" s="88">
        <f>SUM(F540:K540)</f>
        <v>178060.23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116694.84</v>
      </c>
      <c r="I541" s="18"/>
      <c r="J541" s="18"/>
      <c r="K541" s="18"/>
      <c r="L541" s="88">
        <f>SUM(F541:K541)</f>
        <v>116694.84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190132.11</v>
      </c>
      <c r="I542" s="18"/>
      <c r="J542" s="18"/>
      <c r="K542" s="18"/>
      <c r="L542" s="88">
        <f>SUM(F542:K542)</f>
        <v>190132.11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484887.18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484887.18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5232753.75</v>
      </c>
      <c r="G544" s="89">
        <f t="shared" ref="G544:L544" si="41">G523+G528+G533+G538+G543</f>
        <v>1978098.9600000002</v>
      </c>
      <c r="H544" s="89">
        <f t="shared" si="41"/>
        <v>1733302.92</v>
      </c>
      <c r="I544" s="89">
        <f t="shared" si="41"/>
        <v>53654.93</v>
      </c>
      <c r="J544" s="89">
        <f t="shared" si="41"/>
        <v>21066.04</v>
      </c>
      <c r="K544" s="89">
        <f t="shared" si="41"/>
        <v>13837.960000000001</v>
      </c>
      <c r="L544" s="89">
        <f t="shared" si="41"/>
        <v>9032714.5599999987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2429969.7599999998</v>
      </c>
      <c r="G548" s="87">
        <f>L525</f>
        <v>633809.65</v>
      </c>
      <c r="H548" s="87">
        <f>L530</f>
        <v>90826.53</v>
      </c>
      <c r="I548" s="87">
        <f>L535</f>
        <v>10138.299999999999</v>
      </c>
      <c r="J548" s="87">
        <f>L540</f>
        <v>178060.23</v>
      </c>
      <c r="K548" s="87">
        <f>SUM(F548:J548)</f>
        <v>3342804.4699999993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1699656.37</v>
      </c>
      <c r="G549" s="87">
        <f>L526</f>
        <v>488792.12000000005</v>
      </c>
      <c r="H549" s="87">
        <f>L531</f>
        <v>59459.199999999997</v>
      </c>
      <c r="I549" s="87">
        <f>L536</f>
        <v>6644.31</v>
      </c>
      <c r="J549" s="87">
        <f>L541</f>
        <v>116694.84</v>
      </c>
      <c r="K549" s="87">
        <f>SUM(F549:J549)</f>
        <v>2371246.8400000003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2443781.8299999996</v>
      </c>
      <c r="G550" s="87">
        <f>L527</f>
        <v>577046.19999999995</v>
      </c>
      <c r="H550" s="87">
        <f>L532</f>
        <v>96877.48000000001</v>
      </c>
      <c r="I550" s="87">
        <f>L537</f>
        <v>10825.63</v>
      </c>
      <c r="J550" s="87">
        <f>L542</f>
        <v>190132.11</v>
      </c>
      <c r="K550" s="87">
        <f>SUM(F550:J550)</f>
        <v>3318663.2499999991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6573407.959999999</v>
      </c>
      <c r="G551" s="89">
        <f t="shared" si="42"/>
        <v>1699647.97</v>
      </c>
      <c r="H551" s="89">
        <f t="shared" si="42"/>
        <v>247163.21</v>
      </c>
      <c r="I551" s="89">
        <f t="shared" si="42"/>
        <v>27608.239999999998</v>
      </c>
      <c r="J551" s="89">
        <f t="shared" si="42"/>
        <v>484887.18</v>
      </c>
      <c r="K551" s="89">
        <f t="shared" si="42"/>
        <v>9032714.5599999987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141067.01999999999</v>
      </c>
      <c r="G561" s="18">
        <v>41919.15</v>
      </c>
      <c r="H561" s="18">
        <v>2052.88</v>
      </c>
      <c r="I561" s="18">
        <v>6830.5</v>
      </c>
      <c r="J561" s="18">
        <v>1032.32</v>
      </c>
      <c r="K561" s="18">
        <v>224.45</v>
      </c>
      <c r="L561" s="88">
        <f>SUM(F561:K561)</f>
        <v>193126.32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80755.149999999994</v>
      </c>
      <c r="G562" s="18">
        <v>23997.01</v>
      </c>
      <c r="H562" s="18">
        <v>1175.19</v>
      </c>
      <c r="I562" s="18">
        <v>3910.18</v>
      </c>
      <c r="J562" s="18">
        <v>590.96</v>
      </c>
      <c r="K562" s="18">
        <v>128.49</v>
      </c>
      <c r="L562" s="88">
        <f>SUM(F562:K562)</f>
        <v>110556.98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117569.99</v>
      </c>
      <c r="G563" s="18">
        <v>34936.83</v>
      </c>
      <c r="H563" s="18">
        <v>1710.94</v>
      </c>
      <c r="I563" s="18">
        <v>5692.76</v>
      </c>
      <c r="J563" s="18">
        <v>860.37</v>
      </c>
      <c r="K563" s="18">
        <f>187.06-0.01</f>
        <v>187.05</v>
      </c>
      <c r="L563" s="88">
        <f>SUM(F563:K563)</f>
        <v>160957.94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339392.16</v>
      </c>
      <c r="G564" s="89">
        <f t="shared" si="44"/>
        <v>100852.99</v>
      </c>
      <c r="H564" s="89">
        <f t="shared" si="44"/>
        <v>4939.01</v>
      </c>
      <c r="I564" s="89">
        <f t="shared" si="44"/>
        <v>16433.440000000002</v>
      </c>
      <c r="J564" s="89">
        <f t="shared" si="44"/>
        <v>2483.65</v>
      </c>
      <c r="K564" s="89">
        <f t="shared" si="44"/>
        <v>539.99</v>
      </c>
      <c r="L564" s="89">
        <f t="shared" si="44"/>
        <v>464641.24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339392.16</v>
      </c>
      <c r="G570" s="89">
        <f t="shared" ref="G570:L570" si="46">G559+G564+G569</f>
        <v>100852.99</v>
      </c>
      <c r="H570" s="89">
        <f t="shared" si="46"/>
        <v>4939.01</v>
      </c>
      <c r="I570" s="89">
        <f t="shared" si="46"/>
        <v>16433.440000000002</v>
      </c>
      <c r="J570" s="89">
        <f t="shared" si="46"/>
        <v>2483.65</v>
      </c>
      <c r="K570" s="89">
        <f t="shared" si="46"/>
        <v>539.99</v>
      </c>
      <c r="L570" s="89">
        <f t="shared" si="46"/>
        <v>464641.24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8341.66</v>
      </c>
      <c r="G578" s="18">
        <v>5466.85</v>
      </c>
      <c r="H578" s="18">
        <v>8907.2000000000007</v>
      </c>
      <c r="I578" s="87">
        <f t="shared" si="47"/>
        <v>22715.71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275617.25</v>
      </c>
      <c r="G581" s="18">
        <v>180630.52</v>
      </c>
      <c r="H581" s="18">
        <v>294303.17</v>
      </c>
      <c r="I581" s="87">
        <f t="shared" si="47"/>
        <v>750550.94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24003</v>
      </c>
      <c r="I583" s="87">
        <f t="shared" si="47"/>
        <v>24003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417898.2</f>
        <v>417898.2</v>
      </c>
      <c r="I590" s="18">
        <f>274933.03</f>
        <v>274933.03000000003</v>
      </c>
      <c r="J590" s="18">
        <f>406900.88</f>
        <v>406900.88</v>
      </c>
      <c r="K590" s="104">
        <f t="shared" ref="K590:K596" si="48">SUM(H590:J590)</f>
        <v>1099732.1099999999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178060.23</v>
      </c>
      <c r="I591" s="18">
        <v>116694.84</v>
      </c>
      <c r="J591" s="18">
        <v>190132.11</v>
      </c>
      <c r="K591" s="104">
        <f t="shared" si="48"/>
        <v>484887.18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1425.71+7700+1801.56+2281.26+279.85</f>
        <v>13488.38</v>
      </c>
      <c r="K592" s="104">
        <f t="shared" si="48"/>
        <v>13488.38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6669.7</v>
      </c>
      <c r="J593" s="18">
        <v>63629.279999999999</v>
      </c>
      <c r="K593" s="104">
        <f t="shared" si="48"/>
        <v>70298.98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1409.73</v>
      </c>
      <c r="I594" s="18"/>
      <c r="J594" s="18"/>
      <c r="K594" s="104">
        <f t="shared" si="48"/>
        <v>1409.73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>
        <v>10297.65</v>
      </c>
      <c r="K595" s="104">
        <f t="shared" si="48"/>
        <v>10297.65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597368.16</v>
      </c>
      <c r="I597" s="108">
        <f>SUM(I590:I596)</f>
        <v>398297.57</v>
      </c>
      <c r="J597" s="108">
        <f>SUM(J590:J596)</f>
        <v>684448.3</v>
      </c>
      <c r="K597" s="108">
        <f>SUM(K590:K596)</f>
        <v>1680114.0299999996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184667.5+1211.93</f>
        <v>185879.43</v>
      </c>
      <c r="I603" s="18">
        <f>150035.5+178.81</f>
        <v>150214.31</v>
      </c>
      <c r="J603" s="18">
        <f>130844.2+60944.41+29176.94-0.01</f>
        <v>220965.53999999998</v>
      </c>
      <c r="K603" s="104">
        <f>SUM(H603:J603)</f>
        <v>557059.28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185879.43</v>
      </c>
      <c r="I604" s="108">
        <f>SUM(I601:I603)</f>
        <v>150214.31</v>
      </c>
      <c r="J604" s="108">
        <f>SUM(J601:J603)</f>
        <v>220965.53999999998</v>
      </c>
      <c r="K604" s="108">
        <f>SUM(K601:K603)</f>
        <v>557059.28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35137.910000000003</v>
      </c>
      <c r="G610" s="18">
        <v>5324.22</v>
      </c>
      <c r="H610" s="18"/>
      <c r="I610" s="18"/>
      <c r="J610" s="18"/>
      <c r="K610" s="18"/>
      <c r="L610" s="88">
        <f>SUM(F610:K610)</f>
        <v>40462.130000000005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22792.16</v>
      </c>
      <c r="G611" s="18">
        <v>3453.55</v>
      </c>
      <c r="H611" s="18"/>
      <c r="I611" s="18"/>
      <c r="J611" s="18"/>
      <c r="K611" s="18"/>
      <c r="L611" s="88">
        <f>SUM(F611:K611)</f>
        <v>26245.71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37037.26</v>
      </c>
      <c r="G612" s="18">
        <v>5612.01</v>
      </c>
      <c r="H612" s="18"/>
      <c r="I612" s="18"/>
      <c r="J612" s="18"/>
      <c r="K612" s="18"/>
      <c r="L612" s="88">
        <f>SUM(F612:K612)</f>
        <v>42649.270000000004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94967.330000000016</v>
      </c>
      <c r="G613" s="108">
        <f t="shared" si="49"/>
        <v>14389.78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109357.11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2212866.65</v>
      </c>
      <c r="H616" s="109">
        <f>SUM(F51)</f>
        <v>2212866.6500000004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228412.49</v>
      </c>
      <c r="H617" s="109">
        <f>SUM(G51)</f>
        <v>228412.49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543808.11</v>
      </c>
      <c r="H618" s="109">
        <f>SUM(H51)</f>
        <v>543808.11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680259.32000000007</v>
      </c>
      <c r="H620" s="109">
        <f>SUM(J51)</f>
        <v>680259.32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432965</v>
      </c>
      <c r="H621" s="109">
        <f>F475</f>
        <v>432965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201333.87</v>
      </c>
      <c r="H622" s="109">
        <f>G475</f>
        <v>201333.86999999988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272252.96999999997</v>
      </c>
      <c r="H623" s="109">
        <f>H475</f>
        <v>272252.9700000002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680259.32</v>
      </c>
      <c r="H625" s="109">
        <f>J475</f>
        <v>680259.32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41182518.649999999</v>
      </c>
      <c r="H626" s="104">
        <f>SUM(F467)</f>
        <v>41182518.649999999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1245142.97</v>
      </c>
      <c r="H627" s="104">
        <f>SUM(G467)</f>
        <v>1245142.97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2071451.62</v>
      </c>
      <c r="H628" s="104">
        <f>SUM(H467)</f>
        <v>2071451.62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207367.18</v>
      </c>
      <c r="H630" s="104">
        <f>SUM(J467)</f>
        <v>207367.18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41458177.890000001</v>
      </c>
      <c r="H631" s="104">
        <f>SUM(F471)</f>
        <v>41458177.890000001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2043193.75</v>
      </c>
      <c r="H632" s="104">
        <f>SUM(H471)</f>
        <v>2043193.75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471308.77</v>
      </c>
      <c r="H633" s="104">
        <f>I368</f>
        <v>471308.76999999996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1263939.0900000001</v>
      </c>
      <c r="H634" s="104">
        <f>SUM(G471)</f>
        <v>1263939.0900000001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207367.18</v>
      </c>
      <c r="H636" s="164">
        <f>SUM(J467)</f>
        <v>207367.18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200312.85</v>
      </c>
      <c r="H637" s="164">
        <f>SUM(J471)</f>
        <v>200312.85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438550.17</v>
      </c>
      <c r="H638" s="104">
        <f>SUM(F460)</f>
        <v>438550.17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240932.26</v>
      </c>
      <c r="H639" s="104">
        <f>SUM(G460)</f>
        <v>240932.26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776.89</v>
      </c>
      <c r="H640" s="104">
        <f>SUM(H460)</f>
        <v>776.89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680259.32000000007</v>
      </c>
      <c r="H641" s="104">
        <f>SUM(I460)</f>
        <v>680259.32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7054.33</v>
      </c>
      <c r="H643" s="104">
        <f>H407</f>
        <v>7054.33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207367.18</v>
      </c>
      <c r="H645" s="104">
        <f>L407</f>
        <v>207367.18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1680114.0299999996</v>
      </c>
      <c r="H646" s="104">
        <f>L207+L225+L243</f>
        <v>1680114.03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557059.28</v>
      </c>
      <c r="H647" s="104">
        <f>(J256+J337)-(J254+J335)</f>
        <v>557059.27999999991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597368.16</v>
      </c>
      <c r="H648" s="104">
        <f>H597</f>
        <v>597368.16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398297.57</v>
      </c>
      <c r="H649" s="104">
        <f>I597</f>
        <v>398297.57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684448.3</v>
      </c>
      <c r="H650" s="104">
        <f>J597</f>
        <v>684448.3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16711420.25</v>
      </c>
      <c r="G659" s="19">
        <f>(L228+L308+L358)</f>
        <v>10166099.710000001</v>
      </c>
      <c r="H659" s="19">
        <f>(L246+L327+L359)</f>
        <v>16260412.139999999</v>
      </c>
      <c r="I659" s="19">
        <f>SUM(F659:H659)</f>
        <v>43137932.100000001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440933.26519579167</v>
      </c>
      <c r="G660" s="19">
        <f>(L358/IF(SUM(L357:L359)=0,1,SUM(L357:L359))*(SUM(G96:G109)))</f>
        <v>194240.74829595591</v>
      </c>
      <c r="H660" s="19">
        <f>(L359/IF(SUM(L357:L359)=0,1,SUM(L357:L359))*(SUM(G96:G109)))</f>
        <v>259834.74650825243</v>
      </c>
      <c r="I660" s="19">
        <f>SUM(F660:H660)</f>
        <v>895008.76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597368.16</v>
      </c>
      <c r="G661" s="19">
        <f>(L225+L305)-(J225+J305)</f>
        <v>398297.57</v>
      </c>
      <c r="H661" s="19">
        <f>(L243+L324)-(J243+J324)</f>
        <v>684448.3</v>
      </c>
      <c r="I661" s="19">
        <f>SUM(F661:H661)</f>
        <v>1680114.03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510300.47</v>
      </c>
      <c r="G662" s="200">
        <f>SUM(G574:G586)+SUM(I601:I603)+L611</f>
        <v>362557.39</v>
      </c>
      <c r="H662" s="200">
        <f>SUM(H574:H586)+SUM(J601:J603)+L612</f>
        <v>590828.17999999993</v>
      </c>
      <c r="I662" s="19">
        <f>SUM(F662:H662)</f>
        <v>1463686.04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15162818.354804209</v>
      </c>
      <c r="G663" s="19">
        <f>G659-SUM(G660:G662)</f>
        <v>9211004.0017040446</v>
      </c>
      <c r="H663" s="19">
        <f>H659-SUM(H660:H662)</f>
        <v>14725300.913491746</v>
      </c>
      <c r="I663" s="19">
        <f>I659-SUM(I660:I662)</f>
        <v>39099123.270000003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1592.1</v>
      </c>
      <c r="G664" s="249">
        <v>958.7</v>
      </c>
      <c r="H664" s="249">
        <v>1380.09</v>
      </c>
      <c r="I664" s="19">
        <f>SUM(F664:H664)</f>
        <v>3930.8900000000003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9523.7900000000009</v>
      </c>
      <c r="G666" s="19">
        <f>ROUND(G663/G664,2)</f>
        <v>9607.81</v>
      </c>
      <c r="H666" s="19">
        <f>ROUND(H663/H664,2)</f>
        <v>10669.81</v>
      </c>
      <c r="I666" s="19">
        <f>ROUND(I663/I664,2)</f>
        <v>9946.6299999999992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24.83</v>
      </c>
      <c r="I669" s="19">
        <f>SUM(F669:H669)</f>
        <v>24.83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9523.7900000000009</v>
      </c>
      <c r="G671" s="19">
        <f>ROUND((G663+G668)/(G664+G669),2)</f>
        <v>9607.81</v>
      </c>
      <c r="H671" s="19">
        <f>ROUND((H663+H668)/(H664+H669),2)</f>
        <v>10481.24</v>
      </c>
      <c r="I671" s="19">
        <f>ROUND((I663+I668)/(I664+I669),2)</f>
        <v>9884.2000000000007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HUDSON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11274575.24</v>
      </c>
      <c r="C9" s="230">
        <f>'DOE25'!G196+'DOE25'!G214+'DOE25'!G232+'DOE25'!G275+'DOE25'!G294+'DOE25'!G313</f>
        <v>5070412.5299999993</v>
      </c>
    </row>
    <row r="10" spans="1:3" x14ac:dyDescent="0.2">
      <c r="A10" t="s">
        <v>779</v>
      </c>
      <c r="B10" s="241">
        <f>9383836.78+297512.96+98227.42+10831.69</f>
        <v>9790408.8499999996</v>
      </c>
      <c r="C10" s="241">
        <f>SUM(B10/B9)*C9</f>
        <v>4402951.831900931</v>
      </c>
    </row>
    <row r="11" spans="1:3" x14ac:dyDescent="0.2">
      <c r="A11" t="s">
        <v>780</v>
      </c>
      <c r="B11" s="241">
        <f>67075.87+44092.74+216731.1</f>
        <v>327899.70999999996</v>
      </c>
      <c r="C11" s="241">
        <f>SUM(B11/B9)*C9</f>
        <v>147463.3644972124</v>
      </c>
    </row>
    <row r="12" spans="1:3" x14ac:dyDescent="0.2">
      <c r="A12" t="s">
        <v>781</v>
      </c>
      <c r="B12" s="241">
        <f>736703.92+243518.86+176043.9</f>
        <v>1156266.68</v>
      </c>
      <c r="C12" s="241">
        <f>SUM(B12/B9)*C9</f>
        <v>519997.33360185544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11274575.239999998</v>
      </c>
      <c r="C13" s="232">
        <f>SUM(C10:C12)</f>
        <v>5070412.5299999993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4069580.3899999997</v>
      </c>
      <c r="C18" s="230">
        <f>'DOE25'!G197+'DOE25'!G215+'DOE25'!G233+'DOE25'!G276+'DOE25'!G295+'DOE25'!G314</f>
        <v>1454462.8499999999</v>
      </c>
    </row>
    <row r="19" spans="1:3" x14ac:dyDescent="0.2">
      <c r="A19" t="s">
        <v>779</v>
      </c>
      <c r="B19" s="241">
        <f>1246155.48+51467.33+186747.04+159551.54</f>
        <v>1643921.3900000001</v>
      </c>
      <c r="C19" s="241">
        <f>SUM(B19/B18)*C18</f>
        <v>587535.41174680216</v>
      </c>
    </row>
    <row r="20" spans="1:3" x14ac:dyDescent="0.2">
      <c r="A20" t="s">
        <v>780</v>
      </c>
      <c r="B20" s="241">
        <f>27682+72769.53+16504+61195.35+1501900.2+25476.11+129225.03+43500-0.01</f>
        <v>1878252.2100000002</v>
      </c>
      <c r="C20" s="241">
        <f>SUM(B20/B18)*C18</f>
        <v>671284.94846501818</v>
      </c>
    </row>
    <row r="21" spans="1:3" x14ac:dyDescent="0.2">
      <c r="A21" t="s">
        <v>781</v>
      </c>
      <c r="B21" s="241">
        <f>223346.6+154635.04+169425.16-0.01</f>
        <v>547406.79</v>
      </c>
      <c r="C21" s="241">
        <f>SUM(B21/B18)*C18</f>
        <v>195642.48978817975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4069580.3900000006</v>
      </c>
      <c r="C22" s="232">
        <f>SUM(C19:C21)</f>
        <v>1454462.85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1028915.49</v>
      </c>
      <c r="C27" s="235">
        <f>'DOE25'!G198+'DOE25'!G216+'DOE25'!G234+'DOE25'!G277+'DOE25'!G296+'DOE25'!G315</f>
        <v>400408.79</v>
      </c>
    </row>
    <row r="28" spans="1:3" x14ac:dyDescent="0.2">
      <c r="A28" t="s">
        <v>779</v>
      </c>
      <c r="B28" s="241">
        <f>105750+78342.95+43570+41886+46185.88+59088.57+40453.92+86475.9+104261.06+60940.12+56169.1</f>
        <v>723123.5</v>
      </c>
      <c r="C28" s="241">
        <f>SUM(B28/B27)*C27</f>
        <v>281407.95669775078</v>
      </c>
    </row>
    <row r="29" spans="1:3" x14ac:dyDescent="0.2">
      <c r="A29" t="s">
        <v>780</v>
      </c>
      <c r="B29" s="241">
        <f>27725.6+28225.63</f>
        <v>55951.229999999996</v>
      </c>
      <c r="C29" s="241">
        <f>SUM(B29/B27)*C27</f>
        <v>21773.765213031926</v>
      </c>
    </row>
    <row r="30" spans="1:3" x14ac:dyDescent="0.2">
      <c r="A30" t="s">
        <v>781</v>
      </c>
      <c r="B30" s="241">
        <f>3960+194711+37589.76+13580</f>
        <v>249840.76</v>
      </c>
      <c r="C30" s="241">
        <f>SUM(B30/B27)*C27</f>
        <v>97227.068089217311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1028915.49</v>
      </c>
      <c r="C31" s="232">
        <f>SUM(C28:C30)</f>
        <v>400408.79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302472.65999999997</v>
      </c>
      <c r="C36" s="236">
        <f>'DOE25'!G199+'DOE25'!G217+'DOE25'!G235+'DOE25'!G278+'DOE25'!G297+'DOE25'!G316</f>
        <v>45941.719999999994</v>
      </c>
    </row>
    <row r="37" spans="1:3" x14ac:dyDescent="0.2">
      <c r="A37" t="s">
        <v>779</v>
      </c>
      <c r="B37" s="241">
        <f>302472.66</f>
        <v>302472.65999999997</v>
      </c>
      <c r="C37" s="241">
        <f>SUM(B37/B36)*C36</f>
        <v>45941.719999999994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302472.65999999997</v>
      </c>
      <c r="C40" s="232">
        <f>SUM(C37:C39)</f>
        <v>45941.719999999994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HUDSON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25171574.909999996</v>
      </c>
      <c r="D5" s="20">
        <f>SUM('DOE25'!L196:L199)+SUM('DOE25'!L214:L217)+SUM('DOE25'!L232:L235)-F5-G5</f>
        <v>24877377.389999997</v>
      </c>
      <c r="E5" s="244"/>
      <c r="F5" s="256">
        <f>SUM('DOE25'!J196:J199)+SUM('DOE25'!J214:J217)+SUM('DOE25'!J232:J235)</f>
        <v>275063.76999999996</v>
      </c>
      <c r="G5" s="53">
        <f>SUM('DOE25'!K196:K199)+SUM('DOE25'!K214:K217)+SUM('DOE25'!K232:K235)</f>
        <v>19133.75</v>
      </c>
      <c r="H5" s="260"/>
    </row>
    <row r="6" spans="1:9" x14ac:dyDescent="0.2">
      <c r="A6" s="32">
        <v>2100</v>
      </c>
      <c r="B6" t="s">
        <v>801</v>
      </c>
      <c r="C6" s="246">
        <f t="shared" si="0"/>
        <v>3426454.88</v>
      </c>
      <c r="D6" s="20">
        <f>'DOE25'!L201+'DOE25'!L219+'DOE25'!L237-F6-G6</f>
        <v>3403057.74</v>
      </c>
      <c r="E6" s="244"/>
      <c r="F6" s="256">
        <f>'DOE25'!J201+'DOE25'!J219+'DOE25'!J237</f>
        <v>7523.5499999999993</v>
      </c>
      <c r="G6" s="53">
        <f>'DOE25'!K201+'DOE25'!K219+'DOE25'!K237</f>
        <v>15873.59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1112559.3799999999</v>
      </c>
      <c r="D7" s="20">
        <f>'DOE25'!L202+'DOE25'!L220+'DOE25'!L238-F7-G7</f>
        <v>995628.42999999993</v>
      </c>
      <c r="E7" s="244"/>
      <c r="F7" s="256">
        <f>'DOE25'!J202+'DOE25'!J220+'DOE25'!J238</f>
        <v>115955.94999999998</v>
      </c>
      <c r="G7" s="53">
        <f>'DOE25'!K202+'DOE25'!K220+'DOE25'!K238</f>
        <v>975</v>
      </c>
      <c r="H7" s="260"/>
    </row>
    <row r="8" spans="1:9" x14ac:dyDescent="0.2">
      <c r="A8" s="32">
        <v>2300</v>
      </c>
      <c r="B8" t="s">
        <v>802</v>
      </c>
      <c r="C8" s="246">
        <f t="shared" si="0"/>
        <v>247063.21999999994</v>
      </c>
      <c r="D8" s="244"/>
      <c r="E8" s="20">
        <f>'DOE25'!L203+'DOE25'!L221+'DOE25'!L239-F8-G8-D9-D11</f>
        <v>233992.31999999995</v>
      </c>
      <c r="F8" s="256">
        <f>'DOE25'!J203+'DOE25'!J221+'DOE25'!J239</f>
        <v>2495.34</v>
      </c>
      <c r="G8" s="53">
        <f>'DOE25'!K203+'DOE25'!K221+'DOE25'!K239</f>
        <v>10575.56</v>
      </c>
      <c r="H8" s="260"/>
    </row>
    <row r="9" spans="1:9" x14ac:dyDescent="0.2">
      <c r="A9" s="32">
        <v>2310</v>
      </c>
      <c r="B9" t="s">
        <v>818</v>
      </c>
      <c r="C9" s="246">
        <f t="shared" si="0"/>
        <v>78786.47</v>
      </c>
      <c r="D9" s="245">
        <v>78786.47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27462.5</v>
      </c>
      <c r="D10" s="244"/>
      <c r="E10" s="245">
        <v>27462.5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472564.72</v>
      </c>
      <c r="D11" s="245">
        <v>472564.72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2674717.67</v>
      </c>
      <c r="D12" s="20">
        <f>'DOE25'!L204+'DOE25'!L222+'DOE25'!L240-F12-G12</f>
        <v>2619620.08</v>
      </c>
      <c r="E12" s="244"/>
      <c r="F12" s="256">
        <f>'DOE25'!J204+'DOE25'!J222+'DOE25'!J240</f>
        <v>42287.590000000004</v>
      </c>
      <c r="G12" s="53">
        <f>'DOE25'!K204+'DOE25'!K222+'DOE25'!K240</f>
        <v>12810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805168.86999999988</v>
      </c>
      <c r="D13" s="244"/>
      <c r="E13" s="20">
        <f>'DOE25'!L205+'DOE25'!L223+'DOE25'!L241-F13-G13</f>
        <v>800459.02999999991</v>
      </c>
      <c r="F13" s="256">
        <f>'DOE25'!J205+'DOE25'!J223+'DOE25'!J241</f>
        <v>4709.84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4227031.2300000004</v>
      </c>
      <c r="D14" s="20">
        <f>'DOE25'!L206+'DOE25'!L224+'DOE25'!L242-F14-G14</f>
        <v>4209520.1100000003</v>
      </c>
      <c r="E14" s="244"/>
      <c r="F14" s="256">
        <f>'DOE25'!J206+'DOE25'!J224+'DOE25'!J242</f>
        <v>17511.120000000003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1680114.03</v>
      </c>
      <c r="D15" s="20">
        <f>'DOE25'!L207+'DOE25'!L225+'DOE25'!L243-F15-G15</f>
        <v>1680114.03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170518.31</v>
      </c>
      <c r="D22" s="244"/>
      <c r="E22" s="244"/>
      <c r="F22" s="256">
        <f>'DOE25'!L254+'DOE25'!L335</f>
        <v>170518.31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1391624.2</v>
      </c>
      <c r="D25" s="244"/>
      <c r="E25" s="244"/>
      <c r="F25" s="259"/>
      <c r="G25" s="257"/>
      <c r="H25" s="258">
        <f>'DOE25'!L259+'DOE25'!L260+'DOE25'!L340+'DOE25'!L341</f>
        <v>1391624.2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829543.38000000012</v>
      </c>
      <c r="D29" s="20">
        <f>'DOE25'!L357+'DOE25'!L358+'DOE25'!L359-'DOE25'!I366-F29-G29</f>
        <v>678577.79000000015</v>
      </c>
      <c r="E29" s="244"/>
      <c r="F29" s="256">
        <f>'DOE25'!J357+'DOE25'!J358+'DOE25'!J359</f>
        <v>141911.23000000001</v>
      </c>
      <c r="G29" s="53">
        <f>'DOE25'!K357+'DOE25'!K358+'DOE25'!K359</f>
        <v>9054.3599999999988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2043193.7499999998</v>
      </c>
      <c r="D31" s="20">
        <f>'DOE25'!L289+'DOE25'!L308+'DOE25'!L327+'DOE25'!L332+'DOE25'!L333+'DOE25'!L334-F31-G31</f>
        <v>1900319.8499999999</v>
      </c>
      <c r="E31" s="244"/>
      <c r="F31" s="256">
        <f>'DOE25'!J289+'DOE25'!J308+'DOE25'!J327+'DOE25'!J332+'DOE25'!J333+'DOE25'!J334</f>
        <v>91512.12</v>
      </c>
      <c r="G31" s="53">
        <f>'DOE25'!K289+'DOE25'!K308+'DOE25'!K327+'DOE25'!K332+'DOE25'!K333+'DOE25'!K334</f>
        <v>51361.779999999992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40915566.609999992</v>
      </c>
      <c r="E33" s="247">
        <f>SUM(E5:E31)</f>
        <v>1061913.8499999999</v>
      </c>
      <c r="F33" s="247">
        <f>SUM(F5:F31)</f>
        <v>869488.82</v>
      </c>
      <c r="G33" s="247">
        <f>SUM(G5:G31)</f>
        <v>119784.03999999998</v>
      </c>
      <c r="H33" s="247">
        <f>SUM(H5:H31)</f>
        <v>1391624.2</v>
      </c>
    </row>
    <row r="35" spans="2:8" ht="12" thickBot="1" x14ac:dyDescent="0.25">
      <c r="B35" s="254" t="s">
        <v>847</v>
      </c>
      <c r="D35" s="255">
        <f>E33</f>
        <v>1061913.8499999999</v>
      </c>
      <c r="E35" s="250"/>
    </row>
    <row r="36" spans="2:8" ht="12" thickTop="1" x14ac:dyDescent="0.2">
      <c r="B36" t="s">
        <v>815</v>
      </c>
      <c r="D36" s="20">
        <f>D33</f>
        <v>40915566.609999992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1603569.64</v>
      </c>
      <c r="D8" s="95">
        <f>'DOE25'!G9</f>
        <v>167058.04999999999</v>
      </c>
      <c r="E8" s="95">
        <f>'DOE25'!H9</f>
        <v>275412.63</v>
      </c>
      <c r="F8" s="95">
        <f>'DOE25'!I9</f>
        <v>0</v>
      </c>
      <c r="G8" s="95">
        <f>'DOE25'!J9</f>
        <v>678864.39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319023.51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1394.93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268669.89</v>
      </c>
      <c r="D12" s="95">
        <f>'DOE25'!G13</f>
        <v>61354.44</v>
      </c>
      <c r="E12" s="95">
        <f>'DOE25'!H13</f>
        <v>267893.57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15123.61</v>
      </c>
      <c r="D13" s="95">
        <f>'DOE25'!G14</f>
        <v>0</v>
      </c>
      <c r="E13" s="95">
        <f>'DOE25'!H14</f>
        <v>501.90999999999997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6480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2212866.65</v>
      </c>
      <c r="D18" s="41">
        <f>SUM(D8:D17)</f>
        <v>228412.49</v>
      </c>
      <c r="E18" s="41">
        <f>SUM(E8:E17)</f>
        <v>543808.11</v>
      </c>
      <c r="F18" s="41">
        <f>SUM(F8:F17)</f>
        <v>0</v>
      </c>
      <c r="G18" s="41">
        <f>SUM(G8:G17)</f>
        <v>680259.32000000007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263958.84000000003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193969.75</v>
      </c>
      <c r="D23" s="95">
        <f>'DOE25'!G24</f>
        <v>1359.27</v>
      </c>
      <c r="E23" s="95">
        <f>'DOE25'!H24</f>
        <v>2047.5499999999997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5734.04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1580197.86</v>
      </c>
      <c r="D28" s="95">
        <f>'DOE25'!G29</f>
        <v>0</v>
      </c>
      <c r="E28" s="95">
        <f>'DOE25'!H29</f>
        <v>2381.5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25719.35</v>
      </c>
      <c r="E29" s="95">
        <f>'DOE25'!H30</f>
        <v>3167.25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1779901.6500000001</v>
      </c>
      <c r="D31" s="41">
        <f>SUM(D21:D30)</f>
        <v>27078.62</v>
      </c>
      <c r="E31" s="41">
        <f>SUM(E21:E30)</f>
        <v>271555.14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201333.87</v>
      </c>
      <c r="E46" s="95">
        <f>'DOE25'!H47</f>
        <v>272252.96999999997</v>
      </c>
      <c r="F46" s="95">
        <f>'DOE25'!I47</f>
        <v>0</v>
      </c>
      <c r="G46" s="95">
        <f>'DOE25'!J47</f>
        <v>680259.32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193187.4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239777.6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432965</v>
      </c>
      <c r="D49" s="41">
        <f>SUM(D34:D48)</f>
        <v>201333.87</v>
      </c>
      <c r="E49" s="41">
        <f>SUM(E34:E48)</f>
        <v>272252.96999999997</v>
      </c>
      <c r="F49" s="41">
        <f>SUM(F34:F48)</f>
        <v>0</v>
      </c>
      <c r="G49" s="41">
        <f>SUM(G34:G48)</f>
        <v>680259.32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2212866.6500000004</v>
      </c>
      <c r="D50" s="41">
        <f>D49+D31</f>
        <v>228412.49</v>
      </c>
      <c r="E50" s="41">
        <f>E49+E31</f>
        <v>543808.11</v>
      </c>
      <c r="F50" s="41">
        <f>F49+F31</f>
        <v>0</v>
      </c>
      <c r="G50" s="41">
        <f>G49+G31</f>
        <v>680259.32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24304013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134873.07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7680.94</v>
      </c>
      <c r="D58" s="95">
        <f>'DOE25'!G95</f>
        <v>740.44</v>
      </c>
      <c r="E58" s="95">
        <f>'DOE25'!H95</f>
        <v>683.72</v>
      </c>
      <c r="F58" s="95">
        <f>'DOE25'!I95</f>
        <v>0</v>
      </c>
      <c r="G58" s="95">
        <f>'DOE25'!J95</f>
        <v>7054.33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865900.36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154811.14000000001</v>
      </c>
      <c r="D60" s="95">
        <f>SUM('DOE25'!G97:G109)</f>
        <v>29108.400000000001</v>
      </c>
      <c r="E60" s="95">
        <f>SUM('DOE25'!H97:H109)</f>
        <v>289836.32</v>
      </c>
      <c r="F60" s="95">
        <f>SUM('DOE25'!I97:I109)</f>
        <v>0</v>
      </c>
      <c r="G60" s="95">
        <f>SUM('DOE25'!J97:J109)</f>
        <v>200312.85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297365.15000000002</v>
      </c>
      <c r="D61" s="130">
        <f>SUM(D56:D60)</f>
        <v>895749.2</v>
      </c>
      <c r="E61" s="130">
        <f>SUM(E56:E60)</f>
        <v>290520.03999999998</v>
      </c>
      <c r="F61" s="130">
        <f>SUM(F56:F60)</f>
        <v>0</v>
      </c>
      <c r="G61" s="130">
        <f>SUM(G56:G60)</f>
        <v>207367.18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24601378.149999999</v>
      </c>
      <c r="D62" s="22">
        <f>D55+D61</f>
        <v>895749.2</v>
      </c>
      <c r="E62" s="22">
        <f>E55+E61</f>
        <v>290520.03999999998</v>
      </c>
      <c r="F62" s="22">
        <f>F55+F61</f>
        <v>0</v>
      </c>
      <c r="G62" s="22">
        <f>G55+G61</f>
        <v>207367.18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9296157.5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5894011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8054.5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35316.120000000003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15233539.119999999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368157.77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115100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338100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179030.94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150587.46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15701.6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1150976.17</v>
      </c>
      <c r="D77" s="130">
        <f>SUM(D71:D76)</f>
        <v>15701.6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16384515.289999999</v>
      </c>
      <c r="D80" s="130">
        <f>SUM(D78:D79)+D77+D69</f>
        <v>15701.6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155448.54</v>
      </c>
      <c r="D87" s="95">
        <f>SUM('DOE25'!G152:G160)</f>
        <v>333692.17000000004</v>
      </c>
      <c r="E87" s="95">
        <f>SUM('DOE25'!H152:H160)</f>
        <v>1780931.58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155448.54</v>
      </c>
      <c r="D90" s="131">
        <f>SUM(D84:D89)</f>
        <v>333692.17000000004</v>
      </c>
      <c r="E90" s="131">
        <f>SUM(E84:E89)</f>
        <v>1780931.58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41176.67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41176.67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41182518.649999999</v>
      </c>
      <c r="D103" s="86">
        <f>D62+D80+D90+D102</f>
        <v>1245142.97</v>
      </c>
      <c r="E103" s="86">
        <f>E62+E80+E90+E102</f>
        <v>2071451.62</v>
      </c>
      <c r="F103" s="86">
        <f>F62+F80+F90+F102</f>
        <v>0</v>
      </c>
      <c r="G103" s="86">
        <f>G62+G80+G102</f>
        <v>207367.18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17077956.32</v>
      </c>
      <c r="D108" s="24" t="s">
        <v>289</v>
      </c>
      <c r="E108" s="95">
        <f>('DOE25'!L275)+('DOE25'!L294)+('DOE25'!L313)</f>
        <v>589194.03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6098078.0599999996</v>
      </c>
      <c r="D109" s="24" t="s">
        <v>289</v>
      </c>
      <c r="E109" s="95">
        <f>('DOE25'!L276)+('DOE25'!L295)+('DOE25'!L314)</f>
        <v>475329.88999999996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1461613.6400000001</v>
      </c>
      <c r="D110" s="24" t="s">
        <v>289</v>
      </c>
      <c r="E110" s="95">
        <f>('DOE25'!L277)+('DOE25'!L296)+('DOE25'!L315)</f>
        <v>451765.01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533926.89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65236.119999999995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25171574.91</v>
      </c>
      <c r="D114" s="86">
        <f>SUM(D108:D113)</f>
        <v>0</v>
      </c>
      <c r="E114" s="86">
        <f>SUM(E108:E113)</f>
        <v>1581525.0499999998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3426454.88</v>
      </c>
      <c r="D117" s="24" t="s">
        <v>289</v>
      </c>
      <c r="E117" s="95">
        <f>+('DOE25'!L280)+('DOE25'!L299)+('DOE25'!L318)</f>
        <v>385609.76000000007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1112559.3799999999</v>
      </c>
      <c r="D118" s="24" t="s">
        <v>289</v>
      </c>
      <c r="E118" s="95">
        <f>+('DOE25'!L281)+('DOE25'!L300)+('DOE25'!L319)</f>
        <v>76058.94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798414.40999999992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2674717.67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805168.86999999988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4227031.2300000004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1680114.03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1263939.0900000001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14724460.469999999</v>
      </c>
      <c r="D127" s="86">
        <f>SUM(D117:D126)</f>
        <v>1263939.0900000001</v>
      </c>
      <c r="E127" s="86">
        <f>SUM(E117:E126)</f>
        <v>461668.70000000007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170518.31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1093503.47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298120.73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8154.76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205832.62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1534.56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-207367.18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1562142.51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8154.76</v>
      </c>
    </row>
    <row r="144" spans="1:7" ht="12.75" thickTop="1" thickBot="1" x14ac:dyDescent="0.25">
      <c r="A144" s="33" t="s">
        <v>244</v>
      </c>
      <c r="C144" s="86">
        <f>(C114+C127+C143)</f>
        <v>41458177.889999993</v>
      </c>
      <c r="D144" s="86">
        <f>(D114+D127+D143)</f>
        <v>1263939.0900000001</v>
      </c>
      <c r="E144" s="86">
        <f>(E114+E127+E143)</f>
        <v>2043193.75</v>
      </c>
      <c r="F144" s="86">
        <f>(F114+F127+F143)</f>
        <v>0</v>
      </c>
      <c r="G144" s="86">
        <f>(G114+G127+G143)</f>
        <v>8154.76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12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6/21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8220000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8105000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8105000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905000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905000</v>
      </c>
    </row>
    <row r="158" spans="1:9" x14ac:dyDescent="0.2">
      <c r="A158" s="22" t="s">
        <v>35</v>
      </c>
      <c r="B158" s="137">
        <f>'DOE25'!F497</f>
        <v>7200000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7200000</v>
      </c>
    </row>
    <row r="159" spans="1:9" x14ac:dyDescent="0.2">
      <c r="A159" s="22" t="s">
        <v>36</v>
      </c>
      <c r="B159" s="137">
        <f>'DOE25'!F498</f>
        <v>1009259.44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1009259.44</v>
      </c>
    </row>
    <row r="160" spans="1:9" x14ac:dyDescent="0.2">
      <c r="A160" s="22" t="s">
        <v>37</v>
      </c>
      <c r="B160" s="137">
        <f>'DOE25'!F499</f>
        <v>8209259.4399999995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8209259.4399999995</v>
      </c>
    </row>
    <row r="161" spans="1:7" x14ac:dyDescent="0.2">
      <c r="A161" s="22" t="s">
        <v>38</v>
      </c>
      <c r="B161" s="137">
        <f>'DOE25'!F500</f>
        <v>890000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890000</v>
      </c>
    </row>
    <row r="162" spans="1:7" x14ac:dyDescent="0.2">
      <c r="A162" s="22" t="s">
        <v>39</v>
      </c>
      <c r="B162" s="137">
        <f>'DOE25'!F501</f>
        <v>201543.76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201543.76</v>
      </c>
    </row>
    <row r="163" spans="1:7" x14ac:dyDescent="0.2">
      <c r="A163" s="22" t="s">
        <v>246</v>
      </c>
      <c r="B163" s="137">
        <f>'DOE25'!F502</f>
        <v>1091543.76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1091543.76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HUDSON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9524</v>
      </c>
    </row>
    <row r="5" spans="1:4" x14ac:dyDescent="0.2">
      <c r="B5" t="s">
        <v>704</v>
      </c>
      <c r="C5" s="179">
        <f>IF('DOE25'!G664+'DOE25'!G669=0,0,ROUND('DOE25'!G671,0))</f>
        <v>9608</v>
      </c>
    </row>
    <row r="6" spans="1:4" x14ac:dyDescent="0.2">
      <c r="B6" t="s">
        <v>62</v>
      </c>
      <c r="C6" s="179">
        <f>IF('DOE25'!H664+'DOE25'!H669=0,0,ROUND('DOE25'!H671,0))</f>
        <v>10481</v>
      </c>
    </row>
    <row r="7" spans="1:4" x14ac:dyDescent="0.2">
      <c r="B7" t="s">
        <v>705</v>
      </c>
      <c r="C7" s="179">
        <f>IF('DOE25'!I664+'DOE25'!I669=0,0,ROUND('DOE25'!I671,0))</f>
        <v>9884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17667150</v>
      </c>
      <c r="D10" s="182">
        <f>ROUND((C10/$C$28)*100,1)</f>
        <v>41.5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6573408</v>
      </c>
      <c r="D11" s="182">
        <f>ROUND((C11/$C$28)*100,1)</f>
        <v>15.4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1913379</v>
      </c>
      <c r="D12" s="182">
        <f>ROUND((C12/$C$28)*100,1)</f>
        <v>4.5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533927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3812065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1188618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798414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2674718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805169</v>
      </c>
      <c r="D19" s="182">
        <f t="shared" si="0"/>
        <v>1.9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4227031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1680114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65236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298121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368930.24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42606280.240000002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170518</v>
      </c>
    </row>
    <row r="30" spans="1:4" x14ac:dyDescent="0.2">
      <c r="B30" s="187" t="s">
        <v>729</v>
      </c>
      <c r="C30" s="180">
        <f>SUM(C28:C29)</f>
        <v>42776798.240000002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1093503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24304013</v>
      </c>
      <c r="D35" s="182">
        <f t="shared" ref="D35:D40" si="1">ROUND((C35/$C$41)*100,1)</f>
        <v>55.5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795992.80999999493</v>
      </c>
      <c r="D36" s="182">
        <f t="shared" si="1"/>
        <v>1.8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15198223</v>
      </c>
      <c r="D37" s="182">
        <f t="shared" si="1"/>
        <v>34.700000000000003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1201994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2270072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43770294.809999995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HUDSON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2012-08-29T15:10:07Z</cp:lastPrinted>
  <dcterms:created xsi:type="dcterms:W3CDTF">1997-12-04T19:04:30Z</dcterms:created>
  <dcterms:modified xsi:type="dcterms:W3CDTF">2012-11-21T14:44:05Z</dcterms:modified>
</cp:coreProperties>
</file>