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467" i="1" l="1"/>
  <c r="H471" i="1"/>
  <c r="H24" i="1"/>
  <c r="F100" i="1"/>
  <c r="F9" i="1"/>
  <c r="G610" i="1"/>
  <c r="F610" i="1"/>
  <c r="G96" i="1"/>
  <c r="K359" i="1"/>
  <c r="K357" i="1"/>
  <c r="J359" i="1"/>
  <c r="J357" i="1"/>
  <c r="I359" i="1"/>
  <c r="I357" i="1"/>
  <c r="H359" i="1"/>
  <c r="H357" i="1"/>
  <c r="G357" i="1"/>
  <c r="H594" i="1"/>
  <c r="G563" i="1"/>
  <c r="G561" i="1"/>
  <c r="F563" i="1"/>
  <c r="F561" i="1"/>
  <c r="K527" i="1"/>
  <c r="G522" i="1"/>
  <c r="F522" i="1"/>
  <c r="K525" i="1"/>
  <c r="G520" i="1"/>
  <c r="F520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C21" i="10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E110" i="2" s="1"/>
  <c r="E114" i="2" s="1"/>
  <c r="L316" i="1"/>
  <c r="L318" i="1"/>
  <c r="C15" i="10" s="1"/>
  <c r="L319" i="1"/>
  <c r="L320" i="1"/>
  <c r="L321" i="1"/>
  <c r="L322" i="1"/>
  <c r="C19" i="10" s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20" i="10"/>
  <c r="L249" i="1"/>
  <c r="L331" i="1"/>
  <c r="L253" i="1"/>
  <c r="C24" i="10" s="1"/>
  <c r="L267" i="1"/>
  <c r="L268" i="1"/>
  <c r="L348" i="1"/>
  <c r="L349" i="1"/>
  <c r="I664" i="1"/>
  <c r="I669" i="1"/>
  <c r="G661" i="1"/>
  <c r="H661" i="1"/>
  <c r="I668" i="1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L350" i="1" s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09" i="2"/>
  <c r="E111" i="2"/>
  <c r="C112" i="2"/>
  <c r="E112" i="2"/>
  <c r="C113" i="2"/>
  <c r="E113" i="2"/>
  <c r="D114" i="2"/>
  <c r="F114" i="2"/>
  <c r="G114" i="2"/>
  <c r="C117" i="2"/>
  <c r="C119" i="2"/>
  <c r="E119" i="2"/>
  <c r="C120" i="2"/>
  <c r="C121" i="2"/>
  <c r="E121" i="2"/>
  <c r="C123" i="2"/>
  <c r="E123" i="2"/>
  <c r="C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51" i="1" s="1"/>
  <c r="H617" i="1" s="1"/>
  <c r="H50" i="1"/>
  <c r="G623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F407" i="1" s="1"/>
  <c r="H642" i="1" s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F460" i="1" s="1"/>
  <c r="H638" i="1" s="1"/>
  <c r="G459" i="1"/>
  <c r="H459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39" i="1"/>
  <c r="H639" i="1"/>
  <c r="G640" i="1"/>
  <c r="H640" i="1"/>
  <c r="G642" i="1"/>
  <c r="G643" i="1"/>
  <c r="G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I256" i="1"/>
  <c r="I270" i="1" s="1"/>
  <c r="G159" i="2"/>
  <c r="C18" i="2"/>
  <c r="F31" i="2"/>
  <c r="C26" i="10"/>
  <c r="L289" i="1"/>
  <c r="D12" i="13"/>
  <c r="C12" i="13" s="1"/>
  <c r="G8" i="2"/>
  <c r="G161" i="2"/>
  <c r="E49" i="2"/>
  <c r="D18" i="13"/>
  <c r="C18" i="13" s="1"/>
  <c r="D15" i="13"/>
  <c r="C15" i="13" s="1"/>
  <c r="F102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D49" i="2"/>
  <c r="G156" i="2"/>
  <c r="F49" i="2"/>
  <c r="F18" i="2"/>
  <c r="G162" i="2"/>
  <c r="G160" i="2"/>
  <c r="G157" i="2"/>
  <c r="G155" i="2"/>
  <c r="E143" i="2"/>
  <c r="G102" i="2"/>
  <c r="E102" i="2"/>
  <c r="C102" i="2"/>
  <c r="D90" i="2"/>
  <c r="F90" i="2"/>
  <c r="C31" i="2"/>
  <c r="G61" i="2"/>
  <c r="D19" i="13"/>
  <c r="C19" i="13" s="1"/>
  <c r="E13" i="13"/>
  <c r="C13" i="13" s="1"/>
  <c r="G622" i="1" l="1"/>
  <c r="J619" i="1"/>
  <c r="F50" i="2"/>
  <c r="L246" i="1"/>
  <c r="C122" i="2"/>
  <c r="C127" i="2" s="1"/>
  <c r="L228" i="1"/>
  <c r="A40" i="12"/>
  <c r="I459" i="1"/>
  <c r="I460" i="1" s="1"/>
  <c r="H641" i="1" s="1"/>
  <c r="J641" i="1" s="1"/>
  <c r="D7" i="13"/>
  <c r="C7" i="13" s="1"/>
  <c r="C118" i="2"/>
  <c r="C130" i="2"/>
  <c r="G624" i="1"/>
  <c r="C90" i="2"/>
  <c r="C77" i="2"/>
  <c r="C69" i="2"/>
  <c r="C80" i="2" s="1"/>
  <c r="C61" i="2"/>
  <c r="C62" i="2" s="1"/>
  <c r="D50" i="2"/>
  <c r="D18" i="2"/>
  <c r="F51" i="1"/>
  <c r="H616" i="1" s="1"/>
  <c r="J616" i="1" s="1"/>
  <c r="G660" i="1"/>
  <c r="G634" i="1"/>
  <c r="D126" i="2"/>
  <c r="D127" i="2" s="1"/>
  <c r="D144" i="2" s="1"/>
  <c r="D29" i="13"/>
  <c r="C29" i="13" s="1"/>
  <c r="H660" i="1"/>
  <c r="F660" i="1"/>
  <c r="J634" i="1"/>
  <c r="I662" i="1"/>
  <c r="K499" i="1"/>
  <c r="G570" i="1"/>
  <c r="L543" i="1"/>
  <c r="L538" i="1"/>
  <c r="L528" i="1"/>
  <c r="F544" i="1"/>
  <c r="L523" i="1"/>
  <c r="L544" i="1" s="1"/>
  <c r="D14" i="13"/>
  <c r="C14" i="13" s="1"/>
  <c r="E117" i="2"/>
  <c r="E122" i="2"/>
  <c r="E118" i="2"/>
  <c r="E127" i="2" s="1"/>
  <c r="E144" i="2" s="1"/>
  <c r="E124" i="2"/>
  <c r="C18" i="10"/>
  <c r="C16" i="10"/>
  <c r="L327" i="1"/>
  <c r="G31" i="13"/>
  <c r="I337" i="1"/>
  <c r="I351" i="1" s="1"/>
  <c r="C13" i="10"/>
  <c r="E120" i="2"/>
  <c r="C12" i="10"/>
  <c r="A31" i="12"/>
  <c r="H51" i="1"/>
  <c r="H618" i="1" s="1"/>
  <c r="J618" i="1" s="1"/>
  <c r="H659" i="1"/>
  <c r="C17" i="10"/>
  <c r="G33" i="13"/>
  <c r="C110" i="2"/>
  <c r="C111" i="2"/>
  <c r="K256" i="1"/>
  <c r="K270" i="1" s="1"/>
  <c r="G256" i="1"/>
  <c r="G270" i="1" s="1"/>
  <c r="A22" i="12"/>
  <c r="C11" i="10"/>
  <c r="F661" i="1"/>
  <c r="I661" i="1" s="1"/>
  <c r="C109" i="2"/>
  <c r="L210" i="1"/>
  <c r="E77" i="2"/>
  <c r="E80" i="2" s="1"/>
  <c r="E103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G337" i="1"/>
  <c r="G351" i="1" s="1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L570" i="1" s="1"/>
  <c r="G544" i="1"/>
  <c r="H544" i="1"/>
  <c r="K550" i="1"/>
  <c r="F143" i="2"/>
  <c r="F144" i="2" s="1"/>
  <c r="J622" i="1" l="1"/>
  <c r="L256" i="1"/>
  <c r="L270" i="1" s="1"/>
  <c r="G631" i="1" s="1"/>
  <c r="J631" i="1" s="1"/>
  <c r="G50" i="2"/>
  <c r="J624" i="1"/>
  <c r="C39" i="10"/>
  <c r="H192" i="1"/>
  <c r="G628" i="1" s="1"/>
  <c r="J628" i="1" s="1"/>
  <c r="C103" i="2"/>
  <c r="C36" i="10"/>
  <c r="F192" i="1"/>
  <c r="G626" i="1" s="1"/>
  <c r="J626" i="1" s="1"/>
  <c r="H663" i="1"/>
  <c r="H671" i="1" s="1"/>
  <c r="C6" i="10" s="1"/>
  <c r="I660" i="1"/>
  <c r="J647" i="1"/>
  <c r="K551" i="1"/>
  <c r="C28" i="10"/>
  <c r="D16" i="10" s="1"/>
  <c r="C114" i="2"/>
  <c r="F659" i="1"/>
  <c r="F663" i="1" s="1"/>
  <c r="F671" i="1" s="1"/>
  <c r="C4" i="10" s="1"/>
  <c r="J270" i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H666" i="1" l="1"/>
  <c r="C41" i="10"/>
  <c r="D39" i="10" s="1"/>
  <c r="D26" i="10"/>
  <c r="D11" i="10"/>
  <c r="D21" i="10"/>
  <c r="D19" i="10"/>
  <c r="D12" i="10"/>
  <c r="F666" i="1"/>
  <c r="D13" i="10"/>
  <c r="D10" i="10"/>
  <c r="C30" i="10"/>
  <c r="D25" i="10"/>
  <c r="D24" i="10"/>
  <c r="D23" i="10"/>
  <c r="D22" i="10"/>
  <c r="D15" i="10"/>
  <c r="D17" i="10"/>
  <c r="D27" i="10"/>
  <c r="D20" i="10"/>
  <c r="D1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J625" i="1"/>
  <c r="H655" i="1" l="1"/>
  <c r="D38" i="10"/>
  <c r="D40" i="10"/>
  <c r="D36" i="10"/>
  <c r="D41" i="10" s="1"/>
  <c r="D28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<sst xmlns="http://schemas.openxmlformats.org/spreadsheetml/2006/main" count="3947" uniqueCount="914">
  <si>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</si>
  <si>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</si>
  <si>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</si>
  <si>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</si>
  <si>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</si>
  <si>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</si>
  <si>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</si>
  <si>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</si>
  <si>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</si>
  <si>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</si>
  <si>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</si>
  <si>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</si>
  <si>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</si>
  <si>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</si>
  <si>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</si>
  <si>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</si>
  <si>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</si>
  <si>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</si>
  <si>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</si>
  <si>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</si>
  <si>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</si>
  <si>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</si>
  <si>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</si>
  <si>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</si>
  <si>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</si>
  <si>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</si>
  <si>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</si>
  <si>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</si>
  <si>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</si>
  <si>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</si>
  <si>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</si>
  <si>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</si>
  <si>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</si>
  <si>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</si>
  <si>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</si>
  <si>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</si>
  <si>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</si>
  <si>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</si>
  <si>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</si>
  <si>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</si>
  <si>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</si>
  <si>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</si>
  <si>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</si>
  <si>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</si>
  <si>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</si>
  <si>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</si>
  <si>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</si>
  <si>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</si>
  <si>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</si>
  <si>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</si>
  <si>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</si>
  <si>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</si>
  <si>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</si>
  <si>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</si>
  <si>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</si>
  <si>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</si>
  <si>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</si>
  <si>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</si>
  <si>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</si>
  <si>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</si>
  <si>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</si>
  <si>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</si>
  <si>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</si>
  <si>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</si>
  <si>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</si>
  <si>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</si>
  <si>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</si>
  <si>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</si>
  <si>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</si>
  <si>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</si>
  <si>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</si>
  <si>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</si>
  <si>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</si>
  <si>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</si>
  <si>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</si>
  <si>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</si>
  <si>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</si>
  <si>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</si>
  <si>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</si>
  <si>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</si>
  <si>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</si>
  <si>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</si>
  <si>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</si>
  <si>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</si>
  <si>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</si>
  <si>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</si>
  <si>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</si>
  <si>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</si>
  <si>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</si>
  <si>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</si>
  <si>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</si>
  <si>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</si>
  <si>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</si>
  <si>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</si>
  <si>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</si>
  <si>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</si>
  <si>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</si>
  <si>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</si>
  <si>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</si>
  <si>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</si>
  <si>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</si>
  <si>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</si>
  <si>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</si>
  <si>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</si>
  <si>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</si>
  <si>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</si>
  <si>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</si>
  <si>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</si>
  <si>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</si>
  <si>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</si>
  <si>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</si>
  <si>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</si>
  <si>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</si>
  <si>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</si>
  <si>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</si>
  <si>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</si>
  <si>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</si>
  <si>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</si>
  <si>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</si>
  <si>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</si>
  <si>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</si>
  <si>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</si>
  <si>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</si>
  <si>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</si>
  <si>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</si>
  <si>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</si>
  <si>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</si>
  <si>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</si>
  <si>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</si>
  <si>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</si>
  <si>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</si>
  <si>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</si>
  <si>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</si>
  <si>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</si>
  <si>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</si>
  <si>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</si>
  <si>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</si>
  <si>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</si>
  <si>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</si>
  <si>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</si>
  <si>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</si>
  <si>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</si>
  <si>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</si>
  <si>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</si>
  <si>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</si>
  <si>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</si>
  <si>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</si>
  <si>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</si>
  <si>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</si>
  <si>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</si>
  <si>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</si>
  <si>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</si>
  <si>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</si>
  <si>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</si>
  <si>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</si>
  <si>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</si>
  <si>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</si>
  <si>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</si>
  <si>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</si>
  <si>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</si>
  <si>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</si>
  <si>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</si>
  <si>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</si>
  <si>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</si>
  <si>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</si>
  <si>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</si>
  <si>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</si>
  <si>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</si>
  <si>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</si>
  <si>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</si>
  <si>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</si>
  <si>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</si>
  <si>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</si>
  <si>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</si>
  <si>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</si>
  <si>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</si>
  <si>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</si>
  <si>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</si>
  <si>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</si>
  <si>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</si>
  <si>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</si>
  <si>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</si>
  <si>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</si>
  <si>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</si>
  <si>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</si>
  <si>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</si>
  <si>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</si>
  <si>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</si>
  <si>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</si>
  <si>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</si>
  <si>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</si>
  <si>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</si>
  <si>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</si>
  <si>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</si>
  <si>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</si>
  <si>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</si>
  <si>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</si>
  <si>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</si>
  <si>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</si>
  <si>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</si>
  <si>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</si>
  <si>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</si>
  <si>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</si>
  <si>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</si>
  <si>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</si>
  <si>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</si>
  <si>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</si>
  <si>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</si>
  <si>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</si>
  <si>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</si>
  <si>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</si>
  <si>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</si>
  <si>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</si>
  <si>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</si>
  <si>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</si>
  <si>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</si>
  <si>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</si>
  <si>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</si>
  <si>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</si>
  <si>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</si>
  <si>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</si>
  <si>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</si>
  <si>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</si>
  <si>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</si>
  <si>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</si>
  <si>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</si>
  <si>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</si>
  <si>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</si>
  <si>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</si>
  <si>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</si>
  <si>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</si>
  <si>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</si>
  <si>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</si>
  <si>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</si>
  <si>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</si>
  <si>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</si>
  <si>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</si>
  <si>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</si>
  <si>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</si>
  <si>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</si>
  <si>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</si>
  <si>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</si>
  <si>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</si>
  <si>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</si>
  <si>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</si>
  <si>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</si>
  <si>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</si>
  <si>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</si>
  <si>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</si>
  <si>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</si>
  <si>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</si>
  <si>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</si>
  <si>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</si>
  <si>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</si>
  <si>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</si>
  <si>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</si>
  <si>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</si>
  <si>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</si>
  <si>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</si>
  <si>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</si>
  <si>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</si>
  <si>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</si>
  <si>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</si>
  <si>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</si>
  <si>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</si>
  <si>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</si>
  <si>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</si>
  <si>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</si>
  <si>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</si>
  <si>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</si>
  <si>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</si>
  <si>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</si>
  <si>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</si>
  <si>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</si>
  <si>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</si>
  <si>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</si>
  <si>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</si>
  <si>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</si>
  <si>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</si>
  <si>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</si>
  <si>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</si>
  <si>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</si>
  <si>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</si>
  <si>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</si>
  <si>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</si>
  <si>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</si>
  <si>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</si>
  <si>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</si>
  <si>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</si>
  <si>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</si>
  <si>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</si>
  <si>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</si>
  <si>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</si>
  <si>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</si>
  <si>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</si>
  <si>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</si>
  <si>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</si>
  <si>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</si>
  <si>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</si>
  <si>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</si>
  <si>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</si>
  <si>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</si>
  <si>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</si>
  <si>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</si>
  <si>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</si>
  <si>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</si>
  <si>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</si>
  <si>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</si>
  <si>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</si>
  <si>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</si>
  <si>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</si>
  <si>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</si>
  <si>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</si>
  <si>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</si>
  <si>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</si>
  <si>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</si>
  <si>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</si>
  <si>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</si>
  <si>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</si>
  <si>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</si>
  <si>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</si>
  <si>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</si>
  <si>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</si>
  <si>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</si>
  <si>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</si>
  <si>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</si>
  <si>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</si>
  <si>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</si>
  <si>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</si>
  <si>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</si>
  <si>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</si>
  <si>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</si>
  <si>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</si>
  <si>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</si>
  <si>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</si>
  <si>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</si>
  <si>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</si>
  <si>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</si>
  <si>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</si>
  <si>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</si>
  <si>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</si>
  <si>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</si>
  <si>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</si>
  <si>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</si>
  <si>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</si>
  <si>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</si>
  <si>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</si>
  <si>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</si>
  <si>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</si>
  <si>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</si>
  <si>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</si>
  <si>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</si>
  <si>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</si>
  <si>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</si>
  <si>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</si>
  <si>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</si>
  <si>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</si>
  <si>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</si>
  <si>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</si>
  <si>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</si>
  <si>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</si>
  <si>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</si>
  <si>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</si>
  <si>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</si>
  <si>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</si>
  <si>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</si>
  <si>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</si>
  <si>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</si>
  <si>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</si>
  <si>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</si>
  <si>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</si>
  <si>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</si>
  <si>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</si>
  <si>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</si>
  <si>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</si>
  <si>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</si>
  <si>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</si>
  <si>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</si>
  <si>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</si>
  <si>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</si>
  <si>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</si>
  <si>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</si>
  <si>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</si>
  <si>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</si>
  <si>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</si>
  <si>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</si>
  <si>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</si>
  <si>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</si>
  <si>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</si>
  <si>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</si>
  <si>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</si>
  <si>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</si>
  <si>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</si>
  <si>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</si>
  <si>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</si>
  <si>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</si>
  <si>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</si>
  <si>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</si>
  <si>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</si>
  <si>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</si>
  <si>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</si>
  <si>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</si>
  <si>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</si>
  <si>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</si>
  <si>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</si>
  <si>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</si>
  <si>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</si>
  <si>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</si>
  <si>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</si>
  <si>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</si>
  <si>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</si>
  <si>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</si>
  <si>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</si>
  <si>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</si>
  <si>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</si>
  <si>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</si>
  <si>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</si>
  <si>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</si>
  <si>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</si>
  <si>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</si>
  <si>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</si>
  <si>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</si>
  <si>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</si>
  <si>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</si>
  <si>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</si>
  <si>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</si>
  <si>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</si>
  <si>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</si>
  <si>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</si>
  <si>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</si>
  <si>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</si>
  <si>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</si>
  <si>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</si>
  <si>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</si>
  <si>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</si>
  <si>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</si>
  <si>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</si>
  <si>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</si>
  <si>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</si>
  <si>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</si>
  <si>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</si>
  <si>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</si>
  <si>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</si>
  <si>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</si>
  <si>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</si>
  <si>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</si>
  <si>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</si>
  <si>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</si>
  <si>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</si>
  <si>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</si>
  <si>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</si>
  <si>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</si>
  <si>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</si>
  <si>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</si>
  <si>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</si>
  <si>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</si>
  <si>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</si>
  <si>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</si>
  <si>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</si>
  <si>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</si>
  <si>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</si>
  <si>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</si>
  <si>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</si>
  <si>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</si>
  <si>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</si>
  <si>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</si>
  <si>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</si>
  <si>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</si>
  <si>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</si>
  <si>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</si>
  <si>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</si>
  <si>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</si>
  <si>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</si>
  <si>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</si>
  <si>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</si>
  <si>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</si>
  <si>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</si>
  <si>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</si>
  <si>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</si>
  <si>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</si>
  <si>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</si>
  <si>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</si>
  <si>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</si>
  <si>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</si>
  <si>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</si>
  <si>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</si>
  <si>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</si>
  <si>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</si>
  <si>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</si>
  <si>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</si>
  <si>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</si>
  <si>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</si>
  <si>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</si>
  <si>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</si>
  <si>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</si>
  <si>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</si>
  <si>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</si>
  <si>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</si>
  <si>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</si>
  <si>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</si>
  <si>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</si>
  <si>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</si>
  <si>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</si>
  <si>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</si>
  <si>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</si>
  <si>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</si>
  <si>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</si>
  <si>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</si>
  <si>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</si>
  <si>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</si>
  <si>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</si>
  <si>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</si>
  <si>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</si>
  <si>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</si>
  <si>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</si>
  <si>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</si>
  <si>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</si>
  <si>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</si>
  <si>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</si>
  <si>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</si>
  <si>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</si>
  <si>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</si>
  <si>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</si>
  <si>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</si>
  <si>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</si>
  <si>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</si>
  <si>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</si>
  <si>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</si>
  <si>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</si>
  <si>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</si>
  <si>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</si>
  <si>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</si>
  <si>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</si>
  <si>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</si>
  <si>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</si>
  <si>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</si>
  <si>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</si>
  <si>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</si>
  <si>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</si>
  <si>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</si>
  <si>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</si>
  <si>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</si>
  <si>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</si>
  <si>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</si>
  <si>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</si>
  <si>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</si>
  <si>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</si>
  <si>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</si>
  <si>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</si>
  <si>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</si>
  <si>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</si>
  <si>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</si>
  <si>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</si>
  <si>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</si>
  <si>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</si>
  <si>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</si>
  <si>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</si>
  <si>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</si>
  <si>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</si>
  <si>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</si>
  <si>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</si>
  <si>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</si>
  <si>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</si>
  <si>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</si>
  <si>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</si>
  <si>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</si>
  <si>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</si>
  <si>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</si>
  <si>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</si>
  <si>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</si>
  <si>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</si>
  <si>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</si>
  <si>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</si>
  <si>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</si>
  <si>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</si>
  <si>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</si>
  <si>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</si>
  <si>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</si>
  <si>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</si>
  <si>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</si>
  <si>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</si>
  <si>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</si>
  <si>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</si>
  <si>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</si>
  <si>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</si>
  <si>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</si>
  <si>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</si>
  <si>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</si>
  <si>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</si>
  <si>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</si>
  <si>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</si>
  <si>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</si>
  <si>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</si>
  <si>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</si>
  <si>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</si>
  <si>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</si>
  <si>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</si>
  <si>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</si>
  <si>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</si>
  <si>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</si>
  <si>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</si>
  <si>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</si>
  <si>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</si>
  <si>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</si>
  <si>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</si>
  <si>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</si>
  <si>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</si>
  <si>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</si>
  <si>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</si>
  <si>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</si>
  <si>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</si>
  <si>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</si>
  <si>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</si>
  <si>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</si>
  <si>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</si>
  <si>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</si>
  <si>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</si>
  <si>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</si>
  <si>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</si>
  <si>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</si>
  <si>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</si>
  <si>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</si>
  <si>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</si>
  <si>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</si>
  <si>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</si>
  <si>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</si>
  <si>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</si>
  <si>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</si>
  <si>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</si>
  <si>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</si>
  <si>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</si>
  <si>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</si>
  <si>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</si>
  <si>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</si>
  <si>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</si>
  <si>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</si>
  <si>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</si>
  <si>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</si>
  <si>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</si>
  <si>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</si>
  <si>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</si>
  <si>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</si>
  <si>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</si>
  <si>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</si>
  <si>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</si>
  <si>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</si>
  <si>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</si>
  <si>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</si>
  <si>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</si>
  <si>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</si>
  <si>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</si>
  <si>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</si>
  <si>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</si>
  <si>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</si>
  <si>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</si>
  <si>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</si>
  <si>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</si>
  <si>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</si>
  <si>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</si>
  <si>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</si>
  <si>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</si>
  <si>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</si>
  <si>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</si>
  <si>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</si>
  <si>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</si>
  <si>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</si>
  <si>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</si>
  <si>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</si>
  <si>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</si>
  <si>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</si>
  <si>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</si>
  <si>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</si>
  <si>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</si>
  <si>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</si>
  <si>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</si>
  <si>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</si>
  <si>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</si>
  <si>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</si>
  <si>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</si>
  <si>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</si>
  <si>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</si>
  <si>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</si>
  <si>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</si>
  <si>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</si>
  <si>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</si>
  <si>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</si>
  <si>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</si>
  <si>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</si>
  <si>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</si>
  <si>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</si>
  <si>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</si>
  <si>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</si>
  <si>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</si>
  <si>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</si>
  <si>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</si>
  <si>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</si>
  <si>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</si>
  <si>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</si>
  <si>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</si>
  <si>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</si>
  <si>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</si>
  <si>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</si>
  <si>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</si>
  <si>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</si>
  <si>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</si>
  <si>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</si>
  <si>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</si>
  <si>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</si>
  <si>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</si>
  <si>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</si>
  <si>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</si>
  <si>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</si>
  <si>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</si>
  <si>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</si>
  <si>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</si>
  <si>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</si>
  <si>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</si>
  <si>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</si>
  <si>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</si>
  <si>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</si>
  <si>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</si>
  <si>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</si>
  <si>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</si>
  <si>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</si>
  <si>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</si>
  <si>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</si>
  <si>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</si>
  <si>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</si>
  <si>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</si>
  <si>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</si>
  <si>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</si>
  <si>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</si>
  <si>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</si>
  <si>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</si>
  <si>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</si>
  <si>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</si>
  <si>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</si>
  <si>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</si>
  <si>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</si>
  <si>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</si>
  <si>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</si>
  <si>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</si>
  <si>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</si>
  <si>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</si>
  <si>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</si>
  <si>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</si>
  <si>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</si>
  <si>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</si>
  <si>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</si>
  <si>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</si>
  <si>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</si>
  <si>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</si>
  <si>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</si>
  <si>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</si>
  <si>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</si>
  <si>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</si>
  <si>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</si>
  <si>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</si>
  <si>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</si>
  <si>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</si>
  <si>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</si>
  <si>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</si>
  <si>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</si>
  <si>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</si>
  <si>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</si>
  <si>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</si>
  <si>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</si>
  <si>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</si>
  <si>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</si>
  <si>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</si>
  <si>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</si>
  <si>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</si>
  <si>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</si>
  <si>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</si>
  <si>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</si>
  <si>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</si>
  <si>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</si>
  <si>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</si>
  <si>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</si>
  <si>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</si>
  <si>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</si>
  <si>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</si>
  <si>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</si>
  <si>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</si>
  <si>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</si>
  <si>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</si>
  <si>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</si>
  <si>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</si>
  <si>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</si>
  <si>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</si>
  <si>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</si>
  <si>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</si>
  <si>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</si>
  <si>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</si>
  <si>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</si>
  <si>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</si>
  <si>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</si>
  <si>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</si>
  <si>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</si>
  <si>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</si>
  <si>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</si>
  <si>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</si>
  <si>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</si>
  <si>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</si>
  <si>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</si>
  <si>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</si>
  <si>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</si>
  <si>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</si>
  <si>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</si>
  <si>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</si>
  <si>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</si>
  <si>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</si>
  <si>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</si>
  <si>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</si>
  <si>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</si>
  <si>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</si>
  <si>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</si>
  <si>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</si>
  <si>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</si>
  <si>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</si>
  <si>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</si>
  <si>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</si>
  <si>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</si>
  <si>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</si>
  <si>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</si>
  <si>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</si>
  <si>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</si>
  <si>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</si>
  <si>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</si>
  <si>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</si>
  <si>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</si>
  <si>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</si>
  <si>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</si>
  <si>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</si>
  <si>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</si>
  <si>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</si>
  <si>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</si>
  <si>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</si>
  <si>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</si>
  <si>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</si>
  <si>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</si>
  <si>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</si>
  <si>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</si>
  <si>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</si>
  <si>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</si>
  <si>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</si>
  <si>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</si>
  <si>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</si>
  <si>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</si>
  <si>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</si>
  <si>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</si>
  <si>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</si>
  <si>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</si>
  <si>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</si>
  <si>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</si>
  <si>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</si>
  <si>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</si>
  <si>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</si>
  <si>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</si>
  <si>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</si>
  <si>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</si>
  <si>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</si>
  <si>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</si>
  <si>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</si>
  <si>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</si>
  <si>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</si>
  <si>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</si>
  <si>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</si>
  <si>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</si>
  <si>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</si>
  <si>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</si>
  <si>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</si>
  <si>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</si>
  <si>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</si>
  <si>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</si>
  <si>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</si>
  <si>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</si>
  <si>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</si>
  <si>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</si>
  <si>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</si>
  <si>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</si>
  <si>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</si>
  <si>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</si>
  <si>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</si>
  <si>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</si>
  <si>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</si>
  <si>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</si>
  <si>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</si>
  <si>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</si>
  <si>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</si>
  <si>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</si>
  <si>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</si>
  <si>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</si>
  <si>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</si>
  <si>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</si>
  <si>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</si>
  <si>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</si>
  <si>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</si>
  <si>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</si>
  <si>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</si>
  <si>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</si>
  <si>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</si>
  <si>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</si>
  <si>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</si>
  <si>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</si>
  <si>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</si>
  <si>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</si>
  <si>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</si>
  <si>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</si>
  <si>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Inter-lakes School District</t>
  </si>
  <si>
    <t>07/07</t>
  </si>
  <si>
    <t>02/12</t>
  </si>
  <si>
    <t>7 and 9</t>
  </si>
  <si>
    <t>These are post retirement benefits (health, dental,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</si>
</sst>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  <family val="2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269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911642.23+2800</f>
        <v>914442.23</v>
      </c>
      <c r="G9" s="18"/>
      <c r="H9" s="18"/>
      <c r="I9" s="18">
        <v>3231.11</v>
      </c>
      <c r="J9" s="67">
        <f>SUM(I438)</f>
        <v>561759.35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4052315.91</v>
      </c>
      <c r="G12" s="18">
        <v>1883246.79</v>
      </c>
      <c r="H12" s="18">
        <v>1995260.73</v>
      </c>
      <c r="I12" s="18">
        <v>22.38</v>
      </c>
      <c r="J12" s="67">
        <f>SUM(I440)</f>
        <v>25000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129194.46</v>
      </c>
      <c r="G13" s="18">
        <v>56641.81</v>
      </c>
      <c r="H13" s="18">
        <v>130581.44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4200.22</v>
      </c>
      <c r="G14" s="18">
        <v>-5864.63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88515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5188667.82</v>
      </c>
      <c r="G19" s="41">
        <f>SUM(G9:G18)</f>
        <v>1934023.9700000002</v>
      </c>
      <c r="H19" s="41">
        <f>SUM(H9:H18)</f>
        <v>2125842.17</v>
      </c>
      <c r="I19" s="41">
        <f>SUM(I9:I18)</f>
        <v>3253.4900000000002</v>
      </c>
      <c r="J19" s="41">
        <f>SUM(J9:J18)</f>
        <v>586759.35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3903529.9</v>
      </c>
      <c r="G22" s="18">
        <v>1909938.89</v>
      </c>
      <c r="H22" s="18">
        <v>2117354.64</v>
      </c>
      <c r="I22" s="18">
        <v>22.38</v>
      </c>
      <c r="J22" s="67">
        <f>SUM(I447)</f>
        <v>25000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225578.28</v>
      </c>
      <c r="G24" s="18"/>
      <c r="H24" s="18">
        <f>5544.72+41.58</f>
        <v>5586.3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14779.44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5793</v>
      </c>
      <c r="G30" s="18"/>
      <c r="H30" s="18">
        <v>1751.31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4149680.6199999996</v>
      </c>
      <c r="G32" s="41">
        <f>SUM(G22:G31)</f>
        <v>1909938.89</v>
      </c>
      <c r="H32" s="41">
        <f>SUM(H22:H31)</f>
        <v>2124692.25</v>
      </c>
      <c r="I32" s="41">
        <f>SUM(I22:I31)</f>
        <v>22.38</v>
      </c>
      <c r="J32" s="41">
        <f>SUM(J22:J31)</f>
        <v>25000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24085.08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1149.92</v>
      </c>
      <c r="I47" s="18">
        <v>3231.11</v>
      </c>
      <c r="J47" s="13">
        <f>SUM(I458)</f>
        <v>561759.35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415544.18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573443.02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1038987.2</v>
      </c>
      <c r="G50" s="41">
        <f>SUM(G35:G49)</f>
        <v>24085.08</v>
      </c>
      <c r="H50" s="41">
        <f>SUM(H35:H49)</f>
        <v>1149.92</v>
      </c>
      <c r="I50" s="41">
        <f>SUM(I35:I49)</f>
        <v>3231.11</v>
      </c>
      <c r="J50" s="41">
        <f>SUM(J35:J49)</f>
        <v>561759.35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5188667.8199999994</v>
      </c>
      <c r="G51" s="41">
        <f>G50+G32</f>
        <v>1934023.97</v>
      </c>
      <c r="H51" s="41">
        <f>H50+H32</f>
        <v>2125842.17</v>
      </c>
      <c r="I51" s="41">
        <f>I50+I32</f>
        <v>3253.4900000000002</v>
      </c>
      <c r="J51" s="41">
        <f>J50+J32</f>
        <v>586759.35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12558829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12558829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15839.82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44891.03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60730.85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4430.25</v>
      </c>
      <c r="G95" s="18"/>
      <c r="H95" s="18"/>
      <c r="I95" s="18"/>
      <c r="J95" s="18">
        <v>335.09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228708.3+6095.16+1220.95</f>
        <v>236024.41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3271.12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12375.65+17400</f>
        <v>29775.65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6500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3721.72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8344.2900000000009</v>
      </c>
      <c r="G109" s="18"/>
      <c r="H109" s="18">
        <v>18588.13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49543.030000000006</v>
      </c>
      <c r="G110" s="41">
        <f>SUM(G95:G109)</f>
        <v>236024.41</v>
      </c>
      <c r="H110" s="41">
        <f>SUM(H95:H109)</f>
        <v>25088.13</v>
      </c>
      <c r="I110" s="41">
        <f>SUM(I95:I109)</f>
        <v>0</v>
      </c>
      <c r="J110" s="41">
        <f>SUM(J95:J109)</f>
        <v>335.09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12669102.879999999</v>
      </c>
      <c r="G111" s="41">
        <f>G59+G110</f>
        <v>236024.41</v>
      </c>
      <c r="H111" s="41">
        <f>H59+H78+H93+H110</f>
        <v>25088.13</v>
      </c>
      <c r="I111" s="41">
        <f>I59+I110</f>
        <v>0</v>
      </c>
      <c r="J111" s="41">
        <f>J59+J110</f>
        <v>335.09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248765.46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6353570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215.54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15555.85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6618106.8499999996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180626.45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22346.65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10583.84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5578.92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140709.41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213556.94</v>
      </c>
      <c r="G135" s="41">
        <f>SUM(G122:G134)</f>
        <v>5578.92</v>
      </c>
      <c r="H135" s="41">
        <f>SUM(H122:H134)</f>
        <v>140709.41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6831663.79</v>
      </c>
      <c r="G139" s="41">
        <f>G120+SUM(G135:G136)</f>
        <v>5578.92</v>
      </c>
      <c r="H139" s="41">
        <f>H120+SUM(H135:H138)</f>
        <v>140709.41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292723.90999999997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96874.32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172580.08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75623.740000000005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59692.52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135316.26</v>
      </c>
      <c r="G161" s="41">
        <f>SUM(G149:G160)</f>
        <v>172580.08</v>
      </c>
      <c r="H161" s="41">
        <f>SUM(H149:H160)</f>
        <v>389598.23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11860.51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147176.77000000002</v>
      </c>
      <c r="G168" s="41">
        <f>G146+G161+SUM(G162:G167)</f>
        <v>172580.08</v>
      </c>
      <c r="H168" s="41">
        <f>H146+H161+SUM(H162:H167)</f>
        <v>389598.23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19647943.439999998</v>
      </c>
      <c r="G192" s="47">
        <f>G111+G139+G168+G191</f>
        <v>414183.41000000003</v>
      </c>
      <c r="H192" s="47">
        <f>H111+H139+H168+H191</f>
        <v>555395.77</v>
      </c>
      <c r="I192" s="47">
        <f>I111+I139+I168+I191</f>
        <v>0</v>
      </c>
      <c r="J192" s="47">
        <f>J111+J139+J191</f>
        <v>50335.09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3543723.1059999997</v>
      </c>
      <c r="G196" s="18">
        <v>1533076.6675</v>
      </c>
      <c r="H196" s="18">
        <v>50166.77</v>
      </c>
      <c r="I196" s="18">
        <v>99736.44</v>
      </c>
      <c r="J196" s="18">
        <v>9863.49</v>
      </c>
      <c r="K196" s="18">
        <v>121</v>
      </c>
      <c r="L196" s="19">
        <f>SUM(F196:K196)</f>
        <v>5236687.4734999994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1562056.6595000001</v>
      </c>
      <c r="G197" s="18">
        <v>697159.96550000005</v>
      </c>
      <c r="H197" s="18">
        <v>92558.619500000001</v>
      </c>
      <c r="I197" s="18">
        <v>7145.0835000000006</v>
      </c>
      <c r="J197" s="18">
        <v>136.49350000000001</v>
      </c>
      <c r="K197" s="18">
        <v>0</v>
      </c>
      <c r="L197" s="19">
        <f>SUM(F197:K197)</f>
        <v>2359056.8215000001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86037.88</v>
      </c>
      <c r="G199" s="18">
        <v>12003.029999999999</v>
      </c>
      <c r="H199" s="18">
        <v>2001.52</v>
      </c>
      <c r="I199" s="18">
        <v>4391.34</v>
      </c>
      <c r="J199" s="18">
        <v>780.79</v>
      </c>
      <c r="K199" s="18">
        <v>1430</v>
      </c>
      <c r="L199" s="19">
        <f>SUM(F199:K199)</f>
        <v>106644.56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482307.73300000001</v>
      </c>
      <c r="G201" s="18">
        <v>247213.99800000002</v>
      </c>
      <c r="H201" s="18">
        <v>123727.31999999999</v>
      </c>
      <c r="I201" s="18">
        <v>5647.6419999999998</v>
      </c>
      <c r="J201" s="18">
        <v>253.18799999999999</v>
      </c>
      <c r="K201" s="18">
        <v>116.26</v>
      </c>
      <c r="L201" s="19">
        <f t="shared" ref="L201:L207" si="0">SUM(F201:K201)</f>
        <v>859266.14099999995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362293.05800000002</v>
      </c>
      <c r="G202" s="18">
        <v>157561.02750000003</v>
      </c>
      <c r="H202" s="18">
        <v>127067.14700000001</v>
      </c>
      <c r="I202" s="18">
        <v>34374.627</v>
      </c>
      <c r="J202" s="18">
        <v>104165.81750000002</v>
      </c>
      <c r="K202" s="18">
        <v>2235.98</v>
      </c>
      <c r="L202" s="19">
        <f t="shared" si="0"/>
        <v>787697.65700000001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5125.107</v>
      </c>
      <c r="G203" s="18">
        <v>408.99300000000005</v>
      </c>
      <c r="H203" s="18">
        <v>491715.84150000004</v>
      </c>
      <c r="I203" s="18">
        <v>1790.1000000000001</v>
      </c>
      <c r="J203" s="18">
        <v>0</v>
      </c>
      <c r="K203" s="18">
        <v>5777.8</v>
      </c>
      <c r="L203" s="19">
        <f t="shared" si="0"/>
        <v>504817.84149999998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470463.67000000004</v>
      </c>
      <c r="G204" s="18">
        <v>255577.40999999997</v>
      </c>
      <c r="H204" s="18">
        <v>16136.07</v>
      </c>
      <c r="I204" s="18">
        <v>2834.48</v>
      </c>
      <c r="J204" s="18">
        <v>1219.46</v>
      </c>
      <c r="K204" s="18">
        <v>2604</v>
      </c>
      <c r="L204" s="19">
        <f t="shared" si="0"/>
        <v>748835.09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8190</v>
      </c>
      <c r="G205" s="18">
        <v>712.97200000000009</v>
      </c>
      <c r="H205" s="18">
        <v>775.125</v>
      </c>
      <c r="I205" s="18">
        <v>266.12950000000001</v>
      </c>
      <c r="J205" s="18">
        <v>2666.183</v>
      </c>
      <c r="K205" s="18">
        <v>0</v>
      </c>
      <c r="L205" s="19">
        <f t="shared" si="0"/>
        <v>12610.409500000002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361375.47399999999</v>
      </c>
      <c r="G206" s="18">
        <v>214364.90049999999</v>
      </c>
      <c r="H206" s="18">
        <v>359837.73000000004</v>
      </c>
      <c r="I206" s="18">
        <v>298591.64500000002</v>
      </c>
      <c r="J206" s="18">
        <v>8638.5540000000001</v>
      </c>
      <c r="K206" s="18">
        <v>65</v>
      </c>
      <c r="L206" s="19">
        <f t="shared" si="0"/>
        <v>1242873.3034999999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521750.83250000002</v>
      </c>
      <c r="I207" s="18"/>
      <c r="J207" s="18"/>
      <c r="K207" s="18"/>
      <c r="L207" s="19">
        <f t="shared" si="0"/>
        <v>521750.83250000002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367563.31300000002</v>
      </c>
      <c r="H208" s="18"/>
      <c r="I208" s="18"/>
      <c r="J208" s="18"/>
      <c r="K208" s="18"/>
      <c r="L208" s="19">
        <f>SUM(F208:K208)</f>
        <v>367563.31300000002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6881572.6875</v>
      </c>
      <c r="G210" s="41">
        <f t="shared" si="1"/>
        <v>3485642.2769999998</v>
      </c>
      <c r="H210" s="41">
        <f t="shared" si="1"/>
        <v>1785736.9754999999</v>
      </c>
      <c r="I210" s="41">
        <f t="shared" si="1"/>
        <v>454777.48700000008</v>
      </c>
      <c r="J210" s="41">
        <f t="shared" si="1"/>
        <v>127723.97600000004</v>
      </c>
      <c r="K210" s="41">
        <f t="shared" si="1"/>
        <v>12350.04</v>
      </c>
      <c r="L210" s="41">
        <f t="shared" si="1"/>
        <v>12747803.442999996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1600326.3740000001</v>
      </c>
      <c r="G232" s="18">
        <v>711738.8125</v>
      </c>
      <c r="H232" s="18">
        <v>5865.35</v>
      </c>
      <c r="I232" s="18">
        <v>73564.350000000006</v>
      </c>
      <c r="J232" s="18">
        <v>7547.03</v>
      </c>
      <c r="K232" s="18">
        <v>0</v>
      </c>
      <c r="L232" s="19">
        <f>SUM(F232:K232)</f>
        <v>2399041.9164999998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358618.2905</v>
      </c>
      <c r="G233" s="18">
        <v>102782.28449999999</v>
      </c>
      <c r="H233" s="18">
        <v>107876.94050000001</v>
      </c>
      <c r="I233" s="18">
        <v>3083.0864999999999</v>
      </c>
      <c r="J233" s="18">
        <v>73.496499999999997</v>
      </c>
      <c r="K233" s="18">
        <v>0</v>
      </c>
      <c r="L233" s="19">
        <f>SUM(F233:K233)</f>
        <v>572434.09849999996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94878.89</v>
      </c>
      <c r="I234" s="18"/>
      <c r="J234" s="18"/>
      <c r="K234" s="18"/>
      <c r="L234" s="19">
        <f>SUM(F234:K234)</f>
        <v>94878.89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179834.5</v>
      </c>
      <c r="G235" s="18">
        <v>28658.080000000002</v>
      </c>
      <c r="H235" s="18">
        <v>42614.729999999996</v>
      </c>
      <c r="I235" s="18">
        <v>16176.519999999999</v>
      </c>
      <c r="J235" s="18">
        <v>7237.31</v>
      </c>
      <c r="K235" s="18">
        <v>14454.9</v>
      </c>
      <c r="L235" s="19">
        <f>SUM(F235:K235)</f>
        <v>288976.04000000004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301697.99700000003</v>
      </c>
      <c r="G237" s="18">
        <v>179675.91199999998</v>
      </c>
      <c r="H237" s="18">
        <v>27581.83</v>
      </c>
      <c r="I237" s="18">
        <v>6109.6080000000002</v>
      </c>
      <c r="J237" s="18">
        <v>24.331999999999994</v>
      </c>
      <c r="K237" s="18">
        <v>8.76</v>
      </c>
      <c r="L237" s="19">
        <f t="shared" ref="L237:L243" si="4">SUM(F237:K237)</f>
        <v>515098.43900000001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179100.47200000001</v>
      </c>
      <c r="G238" s="18">
        <v>82170.972500000003</v>
      </c>
      <c r="H238" s="18">
        <v>78017.68299999999</v>
      </c>
      <c r="I238" s="18">
        <v>18504.652999999998</v>
      </c>
      <c r="J238" s="18">
        <v>55540.432499999995</v>
      </c>
      <c r="K238" s="18">
        <v>327.56</v>
      </c>
      <c r="L238" s="19">
        <f t="shared" si="4"/>
        <v>413661.77299999999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2759.6729999999998</v>
      </c>
      <c r="G239" s="18">
        <v>220.22699999999998</v>
      </c>
      <c r="H239" s="18">
        <v>264770.06849999999</v>
      </c>
      <c r="I239" s="18">
        <v>963.89999999999986</v>
      </c>
      <c r="J239" s="18">
        <v>0</v>
      </c>
      <c r="K239" s="18">
        <v>3111.11</v>
      </c>
      <c r="L239" s="19">
        <f t="shared" si="4"/>
        <v>271824.97850000003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228713.38</v>
      </c>
      <c r="G240" s="18">
        <v>107331.55</v>
      </c>
      <c r="H240" s="18">
        <v>52731.41</v>
      </c>
      <c r="I240" s="18">
        <v>6269.18</v>
      </c>
      <c r="J240" s="18">
        <v>0</v>
      </c>
      <c r="K240" s="18">
        <v>7564</v>
      </c>
      <c r="L240" s="19">
        <f t="shared" si="4"/>
        <v>402609.51999999996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4410</v>
      </c>
      <c r="G241" s="18">
        <v>383.90800000000002</v>
      </c>
      <c r="H241" s="18">
        <v>417.375</v>
      </c>
      <c r="I241" s="18">
        <v>143.3005</v>
      </c>
      <c r="J241" s="18">
        <v>1435.6369999999997</v>
      </c>
      <c r="K241" s="18">
        <v>0</v>
      </c>
      <c r="L241" s="19">
        <f t="shared" si="4"/>
        <v>6790.2205000000004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179468.89600000001</v>
      </c>
      <c r="G242" s="18">
        <v>100866.3695</v>
      </c>
      <c r="H242" s="18">
        <v>212409.39</v>
      </c>
      <c r="I242" s="18">
        <v>220641.46500000003</v>
      </c>
      <c r="J242" s="18">
        <v>1909.5859999999998</v>
      </c>
      <c r="K242" s="18">
        <v>35</v>
      </c>
      <c r="L242" s="19">
        <f t="shared" si="4"/>
        <v>715330.70649999997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333262.42749999999</v>
      </c>
      <c r="I243" s="18"/>
      <c r="J243" s="18"/>
      <c r="K243" s="18"/>
      <c r="L243" s="19">
        <f t="shared" si="4"/>
        <v>333262.42749999999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197918.70699999999</v>
      </c>
      <c r="H244" s="18"/>
      <c r="I244" s="18"/>
      <c r="J244" s="18"/>
      <c r="K244" s="18"/>
      <c r="L244" s="19">
        <f>SUM(F244:K244)</f>
        <v>197918.70699999999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3034929.5825</v>
      </c>
      <c r="G246" s="41">
        <f t="shared" si="5"/>
        <v>1511746.8229999999</v>
      </c>
      <c r="H246" s="41">
        <f t="shared" si="5"/>
        <v>1220426.0945000001</v>
      </c>
      <c r="I246" s="41">
        <f t="shared" si="5"/>
        <v>345456.06300000002</v>
      </c>
      <c r="J246" s="41">
        <f t="shared" si="5"/>
        <v>73767.823999999993</v>
      </c>
      <c r="K246" s="41">
        <f t="shared" si="5"/>
        <v>25501.329999999998</v>
      </c>
      <c r="L246" s="41">
        <f t="shared" si="5"/>
        <v>6211827.7170000002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9916502.2699999996</v>
      </c>
      <c r="G256" s="41">
        <f t="shared" si="8"/>
        <v>4997389.0999999996</v>
      </c>
      <c r="H256" s="41">
        <f t="shared" si="8"/>
        <v>3006163.0700000003</v>
      </c>
      <c r="I256" s="41">
        <f t="shared" si="8"/>
        <v>800233.55</v>
      </c>
      <c r="J256" s="41">
        <f t="shared" si="8"/>
        <v>201491.80000000005</v>
      </c>
      <c r="K256" s="41">
        <f t="shared" si="8"/>
        <v>37851.369999999995</v>
      </c>
      <c r="L256" s="41">
        <f t="shared" si="8"/>
        <v>18959631.159999996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290000</v>
      </c>
      <c r="L259" s="19">
        <f>SUM(F259:K259)</f>
        <v>290000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8268.0300000000007</v>
      </c>
      <c r="L260" s="19">
        <f>SUM(F260:K260)</f>
        <v>8268.0300000000007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348268.03</v>
      </c>
      <c r="L269" s="41">
        <f t="shared" si="9"/>
        <v>348268.03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9916502.2699999996</v>
      </c>
      <c r="G270" s="42">
        <f t="shared" si="11"/>
        <v>4997389.0999999996</v>
      </c>
      <c r="H270" s="42">
        <f t="shared" si="11"/>
        <v>3006163.0700000003</v>
      </c>
      <c r="I270" s="42">
        <f t="shared" si="11"/>
        <v>800233.55</v>
      </c>
      <c r="J270" s="42">
        <f t="shared" si="11"/>
        <v>201491.80000000005</v>
      </c>
      <c r="K270" s="42">
        <f t="shared" si="11"/>
        <v>386119.4</v>
      </c>
      <c r="L270" s="42">
        <f t="shared" si="11"/>
        <v>19307899.189999998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181804.82449999999</v>
      </c>
      <c r="G275" s="18">
        <v>53307.891000000003</v>
      </c>
      <c r="H275" s="18">
        <v>2730</v>
      </c>
      <c r="I275" s="18">
        <v>4722.549</v>
      </c>
      <c r="J275" s="18">
        <v>478.5625</v>
      </c>
      <c r="K275" s="18">
        <v>0</v>
      </c>
      <c r="L275" s="19">
        <f>SUM(F275:K275)</f>
        <v>243043.82699999999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31112.25</v>
      </c>
      <c r="G276" s="18">
        <v>11882.097500000002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42994.347500000003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322.76400000000001</v>
      </c>
      <c r="I278" s="18">
        <v>1544.4065000000003</v>
      </c>
      <c r="J278" s="18">
        <v>0</v>
      </c>
      <c r="K278" s="18">
        <v>0</v>
      </c>
      <c r="L278" s="19">
        <f>SUM(F278:K278)</f>
        <v>1867.1705000000002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606.50850000000003</v>
      </c>
      <c r="L280" s="19">
        <f t="shared" ref="L280:L286" si="12">SUM(F280:K280)</f>
        <v>606.50850000000003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8974.875</v>
      </c>
      <c r="G281" s="18">
        <v>1883.4335000000001</v>
      </c>
      <c r="H281" s="18">
        <v>42645.51200000001</v>
      </c>
      <c r="I281" s="18">
        <v>0</v>
      </c>
      <c r="J281" s="18">
        <v>12603.1945</v>
      </c>
      <c r="K281" s="18">
        <v>636.38900000000001</v>
      </c>
      <c r="L281" s="19">
        <f t="shared" si="12"/>
        <v>66743.40400000001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5671.8025000000007</v>
      </c>
      <c r="I282" s="18">
        <v>0</v>
      </c>
      <c r="J282" s="18">
        <v>0</v>
      </c>
      <c r="K282" s="18">
        <v>10150.296</v>
      </c>
      <c r="L282" s="19">
        <f t="shared" si="12"/>
        <v>15822.0985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975</v>
      </c>
      <c r="I286" s="18"/>
      <c r="J286" s="18"/>
      <c r="K286" s="18"/>
      <c r="L286" s="19">
        <f t="shared" si="12"/>
        <v>975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221891.94949999999</v>
      </c>
      <c r="G289" s="42">
        <f t="shared" si="13"/>
        <v>67073.422000000006</v>
      </c>
      <c r="H289" s="42">
        <f t="shared" si="13"/>
        <v>52345.078500000011</v>
      </c>
      <c r="I289" s="42">
        <f t="shared" si="13"/>
        <v>6266.9555</v>
      </c>
      <c r="J289" s="42">
        <f t="shared" si="13"/>
        <v>13081.757</v>
      </c>
      <c r="K289" s="42">
        <f t="shared" si="13"/>
        <v>11393.193500000001</v>
      </c>
      <c r="L289" s="41">
        <f t="shared" si="13"/>
        <v>372052.35599999997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97894.905499999993</v>
      </c>
      <c r="G313" s="18">
        <v>28704.248999999996</v>
      </c>
      <c r="H313" s="18">
        <v>1470</v>
      </c>
      <c r="I313" s="18">
        <v>2542.9110000000001</v>
      </c>
      <c r="J313" s="18">
        <v>257.6875</v>
      </c>
      <c r="K313" s="18">
        <v>0</v>
      </c>
      <c r="L313" s="19">
        <f>SUM(F313:K313)</f>
        <v>130869.753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16752.75</v>
      </c>
      <c r="G314" s="18">
        <v>6398.0524999999998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23150.802499999998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173.79599999999999</v>
      </c>
      <c r="I316" s="18">
        <v>831.60349999999994</v>
      </c>
      <c r="J316" s="18">
        <v>0</v>
      </c>
      <c r="K316" s="18">
        <v>0</v>
      </c>
      <c r="L316" s="19">
        <f>SUM(F316:K316)</f>
        <v>1005.3995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326.58150000000001</v>
      </c>
      <c r="L318" s="19">
        <f t="shared" ref="L318:L324" si="16">SUM(F318:K318)</f>
        <v>326.58150000000001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4832.625</v>
      </c>
      <c r="G319" s="18">
        <v>1014.1565000000001</v>
      </c>
      <c r="H319" s="18">
        <v>22962.968000000001</v>
      </c>
      <c r="I319" s="18">
        <v>0</v>
      </c>
      <c r="J319" s="18">
        <v>6786.3354999999992</v>
      </c>
      <c r="K319" s="18">
        <v>342.67099999999994</v>
      </c>
      <c r="L319" s="19">
        <f t="shared" si="16"/>
        <v>35938.756000000001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3054.0474999999997</v>
      </c>
      <c r="I320" s="18">
        <v>0</v>
      </c>
      <c r="J320" s="18">
        <v>0</v>
      </c>
      <c r="K320" s="18">
        <v>5465.5439999999999</v>
      </c>
      <c r="L320" s="19">
        <f t="shared" si="16"/>
        <v>8519.5914999999986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525</v>
      </c>
      <c r="I324" s="18"/>
      <c r="J324" s="18"/>
      <c r="K324" s="18"/>
      <c r="L324" s="19">
        <f t="shared" si="16"/>
        <v>525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119480.28049999999</v>
      </c>
      <c r="G327" s="42">
        <f t="shared" si="17"/>
        <v>36116.457999999991</v>
      </c>
      <c r="H327" s="42">
        <f t="shared" si="17"/>
        <v>28185.8115</v>
      </c>
      <c r="I327" s="42">
        <f t="shared" si="17"/>
        <v>3374.5145000000002</v>
      </c>
      <c r="J327" s="42">
        <f t="shared" si="17"/>
        <v>7044.0229999999992</v>
      </c>
      <c r="K327" s="42">
        <f t="shared" si="17"/>
        <v>6134.7964999999995</v>
      </c>
      <c r="L327" s="41">
        <f t="shared" si="17"/>
        <v>200335.88399999999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341372.23</v>
      </c>
      <c r="G337" s="41">
        <f t="shared" si="20"/>
        <v>103189.88</v>
      </c>
      <c r="H337" s="41">
        <f t="shared" si="20"/>
        <v>80530.890000000014</v>
      </c>
      <c r="I337" s="41">
        <f t="shared" si="20"/>
        <v>9641.4700000000012</v>
      </c>
      <c r="J337" s="41">
        <f t="shared" si="20"/>
        <v>20125.78</v>
      </c>
      <c r="K337" s="41">
        <f t="shared" si="20"/>
        <v>17527.990000000002</v>
      </c>
      <c r="L337" s="41">
        <f t="shared" si="20"/>
        <v>572388.24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341372.23</v>
      </c>
      <c r="G351" s="41">
        <f>G337</f>
        <v>103189.88</v>
      </c>
      <c r="H351" s="41">
        <f>H337</f>
        <v>80530.890000000014</v>
      </c>
      <c r="I351" s="41">
        <f>I337</f>
        <v>9641.4700000000012</v>
      </c>
      <c r="J351" s="41">
        <f>J337</f>
        <v>20125.78</v>
      </c>
      <c r="K351" s="47">
        <f>K337+K350</f>
        <v>17527.990000000002</v>
      </c>
      <c r="L351" s="41">
        <f>L337+L350</f>
        <v>572388.24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2178.09</v>
      </c>
      <c r="G357" s="18">
        <f>166.6+37.71</f>
        <v>204.31</v>
      </c>
      <c r="H357" s="18">
        <f>(411368+1028)*0.65</f>
        <v>268057.40000000002</v>
      </c>
      <c r="I357" s="18">
        <f>169.26*0.65</f>
        <v>110.01899999999999</v>
      </c>
      <c r="J357" s="18">
        <f>2184*0.65</f>
        <v>1419.6000000000001</v>
      </c>
      <c r="K357" s="18">
        <f>586.31*0.65</f>
        <v>381.10149999999999</v>
      </c>
      <c r="L357" s="13">
        <f>SUM(F357:K357)</f>
        <v>272350.52049999998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f>(411368+1028)-H357</f>
        <v>144338.59999999998</v>
      </c>
      <c r="I359" s="18">
        <f>169.26-I357</f>
        <v>59.241</v>
      </c>
      <c r="J359" s="18">
        <f>2184-J357</f>
        <v>764.39999999999986</v>
      </c>
      <c r="K359" s="18">
        <f>586.31-K357</f>
        <v>205.20849999999996</v>
      </c>
      <c r="L359" s="19">
        <f>SUM(F359:K359)</f>
        <v>145367.44949999999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2178.09</v>
      </c>
      <c r="G361" s="47">
        <f t="shared" si="22"/>
        <v>204.31</v>
      </c>
      <c r="H361" s="47">
        <f t="shared" si="22"/>
        <v>412396</v>
      </c>
      <c r="I361" s="47">
        <f t="shared" si="22"/>
        <v>169.26</v>
      </c>
      <c r="J361" s="47">
        <f t="shared" si="22"/>
        <v>2184</v>
      </c>
      <c r="K361" s="47">
        <f t="shared" si="22"/>
        <v>586.30999999999995</v>
      </c>
      <c r="L361" s="47">
        <f t="shared" si="22"/>
        <v>417717.97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110.02</v>
      </c>
      <c r="G367" s="63"/>
      <c r="H367" s="63">
        <v>59.24</v>
      </c>
      <c r="I367" s="56">
        <f>SUM(F367:H367)</f>
        <v>169.26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110.02</v>
      </c>
      <c r="G368" s="47">
        <f>SUM(G366:G367)</f>
        <v>0</v>
      </c>
      <c r="H368" s="47">
        <f>SUM(H366:H367)</f>
        <v>59.24</v>
      </c>
      <c r="I368" s="47">
        <f>SUM(I366:I367)</f>
        <v>169.26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53.04</v>
      </c>
      <c r="I394" s="18"/>
      <c r="J394" s="24" t="s">
        <v>289</v>
      </c>
      <c r="K394" s="24" t="s">
        <v>289</v>
      </c>
      <c r="L394" s="56">
        <f t="shared" ref="L394:L399" si="26">SUM(F394:K394)</f>
        <v>53.04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172.09</v>
      </c>
      <c r="I395" s="18"/>
      <c r="J395" s="24" t="s">
        <v>289</v>
      </c>
      <c r="K395" s="24" t="s">
        <v>289</v>
      </c>
      <c r="L395" s="56">
        <f t="shared" si="26"/>
        <v>172.09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90.51</v>
      </c>
      <c r="I396" s="18"/>
      <c r="J396" s="24" t="s">
        <v>289</v>
      </c>
      <c r="K396" s="24" t="s">
        <v>289</v>
      </c>
      <c r="L396" s="56">
        <f t="shared" si="26"/>
        <v>90.51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50000</v>
      </c>
      <c r="H399" s="18">
        <v>19.45</v>
      </c>
      <c r="I399" s="18"/>
      <c r="J399" s="24" t="s">
        <v>289</v>
      </c>
      <c r="K399" s="24" t="s">
        <v>289</v>
      </c>
      <c r="L399" s="56">
        <f t="shared" si="26"/>
        <v>50019.45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335.09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50335.09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335.09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50335.09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561759.35</v>
      </c>
      <c r="G438" s="18"/>
      <c r="H438" s="18"/>
      <c r="I438" s="56">
        <f t="shared" ref="I438:I444" si="33">SUM(F438:H438)</f>
        <v>561759.35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25000</v>
      </c>
      <c r="G440" s="18"/>
      <c r="H440" s="18"/>
      <c r="I440" s="56">
        <f t="shared" si="33"/>
        <v>25000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586759.35</v>
      </c>
      <c r="G445" s="13">
        <f>SUM(G438:G444)</f>
        <v>0</v>
      </c>
      <c r="H445" s="13">
        <f>SUM(H438:H444)</f>
        <v>0</v>
      </c>
      <c r="I445" s="13">
        <f>SUM(I438:I444)</f>
        <v>586759.35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25000</v>
      </c>
      <c r="G447" s="18"/>
      <c r="H447" s="18"/>
      <c r="I447" s="56">
        <f>SUM(F447:H447)</f>
        <v>25000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25000</v>
      </c>
      <c r="G451" s="72">
        <f>SUM(G447:G450)</f>
        <v>0</v>
      </c>
      <c r="H451" s="72">
        <f>SUM(H447:H450)</f>
        <v>0</v>
      </c>
      <c r="I451" s="72">
        <f>SUM(I447:I450)</f>
        <v>25000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561759.35</v>
      </c>
      <c r="G458" s="18"/>
      <c r="H458" s="18"/>
      <c r="I458" s="56">
        <f t="shared" si="34"/>
        <v>561759.35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561759.35</v>
      </c>
      <c r="G459" s="83">
        <f>SUM(G453:G458)</f>
        <v>0</v>
      </c>
      <c r="H459" s="83">
        <f>SUM(H453:H458)</f>
        <v>0</v>
      </c>
      <c r="I459" s="83">
        <f>SUM(I453:I458)</f>
        <v>561759.35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586759.35</v>
      </c>
      <c r="G460" s="42">
        <f>G451+G459</f>
        <v>0</v>
      </c>
      <c r="H460" s="42">
        <f>H451+H459</f>
        <v>0</v>
      </c>
      <c r="I460" s="42">
        <f>I451+I459</f>
        <v>586759.35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698942.95000000298</v>
      </c>
      <c r="G464" s="18">
        <v>27619.639999999956</v>
      </c>
      <c r="H464" s="18">
        <v>18142.390000000014</v>
      </c>
      <c r="I464" s="18">
        <v>3231.11</v>
      </c>
      <c r="J464" s="18">
        <v>511424.26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19647943.440000001</v>
      </c>
      <c r="G467" s="18">
        <v>414183.41</v>
      </c>
      <c r="H467" s="18">
        <f>552523.2+2872.57</f>
        <v>555395.7699999999</v>
      </c>
      <c r="I467" s="18"/>
      <c r="J467" s="18">
        <v>50335.09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19647943.440000001</v>
      </c>
      <c r="G469" s="53">
        <f>SUM(G467:G468)</f>
        <v>414183.41</v>
      </c>
      <c r="H469" s="53">
        <f>SUM(H467:H468)</f>
        <v>555395.7699999999</v>
      </c>
      <c r="I469" s="53">
        <f>SUM(I467:I468)</f>
        <v>0</v>
      </c>
      <c r="J469" s="53">
        <f>SUM(J467:J468)</f>
        <v>50335.09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19307899.190000001</v>
      </c>
      <c r="G471" s="18">
        <v>417717.97</v>
      </c>
      <c r="H471" s="18">
        <f>572346.66+41.58</f>
        <v>572388.24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19307899.190000001</v>
      </c>
      <c r="G473" s="53">
        <f>SUM(G471:G472)</f>
        <v>417717.97</v>
      </c>
      <c r="H473" s="53">
        <f>SUM(H471:H472)</f>
        <v>572388.24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1038987.200000003</v>
      </c>
      <c r="G475" s="53">
        <f>(G464+G469)- G473</f>
        <v>24085.079999999958</v>
      </c>
      <c r="H475" s="53">
        <f>(H464+H469)- H473</f>
        <v>1149.9199999999255</v>
      </c>
      <c r="I475" s="53">
        <f>(I464+I469)- I473</f>
        <v>3231.11</v>
      </c>
      <c r="J475" s="53">
        <f>(J464+J469)- J473</f>
        <v>561759.35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3.91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290000</v>
      </c>
      <c r="G494" s="18"/>
      <c r="H494" s="18"/>
      <c r="I494" s="18"/>
      <c r="J494" s="18"/>
      <c r="K494" s="53">
        <f>SUM(F494:J494)</f>
        <v>290000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290000</v>
      </c>
      <c r="G496" s="18"/>
      <c r="H496" s="18"/>
      <c r="I496" s="18"/>
      <c r="J496" s="18"/>
      <c r="K496" s="53">
        <f t="shared" si="35"/>
        <v>290000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1562056.66+31112.25</f>
        <v>1593168.91</v>
      </c>
      <c r="G520" s="18">
        <f>697159.97+11882.1</f>
        <v>709042.07</v>
      </c>
      <c r="H520" s="18">
        <v>92558.62</v>
      </c>
      <c r="I520" s="18">
        <v>7145.08</v>
      </c>
      <c r="J520" s="18">
        <v>136.49</v>
      </c>
      <c r="K520" s="18"/>
      <c r="L520" s="88">
        <f>SUM(F520:K520)</f>
        <v>2402051.1700000004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358618.29+16752.75</f>
        <v>375371.04</v>
      </c>
      <c r="G522" s="18">
        <f>102782.28+6398.05</f>
        <v>109180.33</v>
      </c>
      <c r="H522" s="18">
        <v>107876.94</v>
      </c>
      <c r="I522" s="18">
        <v>3083.09</v>
      </c>
      <c r="J522" s="18">
        <v>73.5</v>
      </c>
      <c r="K522" s="18"/>
      <c r="L522" s="88">
        <f>SUM(F522:K522)</f>
        <v>595584.9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1968539.95</v>
      </c>
      <c r="G523" s="108">
        <f t="shared" ref="G523:L523" si="36">SUM(G520:G522)</f>
        <v>818222.39999999991</v>
      </c>
      <c r="H523" s="108">
        <f t="shared" si="36"/>
        <v>200435.56</v>
      </c>
      <c r="I523" s="108">
        <f t="shared" si="36"/>
        <v>10228.17</v>
      </c>
      <c r="J523" s="108">
        <f t="shared" si="36"/>
        <v>209.99</v>
      </c>
      <c r="K523" s="108">
        <f t="shared" si="36"/>
        <v>0</v>
      </c>
      <c r="L523" s="89">
        <f t="shared" si="36"/>
        <v>2997636.0700000003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310860.90000000002</v>
      </c>
      <c r="G525" s="18">
        <v>167862.36</v>
      </c>
      <c r="H525" s="18">
        <v>118314.71</v>
      </c>
      <c r="I525" s="18">
        <v>2530.65</v>
      </c>
      <c r="J525" s="18">
        <v>128.38999999999999</v>
      </c>
      <c r="K525" s="18">
        <f>46.5+242.6</f>
        <v>289.10000000000002</v>
      </c>
      <c r="L525" s="88">
        <f>SUM(F525:K525)</f>
        <v>599986.11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184184.17</v>
      </c>
      <c r="G527" s="18">
        <v>116373.8</v>
      </c>
      <c r="H527" s="18">
        <v>18282.599999999999</v>
      </c>
      <c r="I527" s="18">
        <v>2588.6999999999998</v>
      </c>
      <c r="J527" s="18">
        <v>24.33</v>
      </c>
      <c r="K527" s="18">
        <f>3.5+130.63</f>
        <v>134.13</v>
      </c>
      <c r="L527" s="88">
        <f>SUM(F527:K527)</f>
        <v>321587.73000000004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495045.07000000007</v>
      </c>
      <c r="G528" s="89">
        <f t="shared" ref="G528:L528" si="37">SUM(G525:G527)</f>
        <v>284236.15999999997</v>
      </c>
      <c r="H528" s="89">
        <f t="shared" si="37"/>
        <v>136597.31</v>
      </c>
      <c r="I528" s="89">
        <f t="shared" si="37"/>
        <v>5119.3500000000004</v>
      </c>
      <c r="J528" s="89">
        <f t="shared" si="37"/>
        <v>152.71999999999997</v>
      </c>
      <c r="K528" s="89">
        <f t="shared" si="37"/>
        <v>423.23</v>
      </c>
      <c r="L528" s="89">
        <f t="shared" si="37"/>
        <v>921573.84000000008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81261.73</v>
      </c>
      <c r="I530" s="18"/>
      <c r="J530" s="18"/>
      <c r="K530" s="18"/>
      <c r="L530" s="88">
        <f>SUM(F530:K530)</f>
        <v>81261.73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43756.32</v>
      </c>
      <c r="I532" s="18"/>
      <c r="J532" s="18"/>
      <c r="K532" s="18"/>
      <c r="L532" s="88">
        <f>SUM(F532:K532)</f>
        <v>43756.32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125018.04999999999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125018.04999999999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1345.83</v>
      </c>
      <c r="I535" s="18"/>
      <c r="J535" s="18"/>
      <c r="K535" s="18"/>
      <c r="L535" s="88">
        <f>SUM(F535:K535)</f>
        <v>1345.83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724.68</v>
      </c>
      <c r="I537" s="18"/>
      <c r="J537" s="18"/>
      <c r="K537" s="18"/>
      <c r="L537" s="88">
        <f>SUM(F537:K537)</f>
        <v>724.68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2070.5099999999998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2070.5099999999998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45332.88</v>
      </c>
      <c r="I540" s="18"/>
      <c r="J540" s="18"/>
      <c r="K540" s="18"/>
      <c r="L540" s="88">
        <f>SUM(F540:K540)</f>
        <v>45332.88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24673</v>
      </c>
      <c r="I542" s="18"/>
      <c r="J542" s="18"/>
      <c r="K542" s="18"/>
      <c r="L542" s="88">
        <f>SUM(F542:K542)</f>
        <v>24673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70005.88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70005.88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2463585.02</v>
      </c>
      <c r="G544" s="89">
        <f t="shared" ref="G544:L544" si="41">G523+G528+G533+G538+G543</f>
        <v>1102458.5599999998</v>
      </c>
      <c r="H544" s="89">
        <f t="shared" si="41"/>
        <v>534127.31000000006</v>
      </c>
      <c r="I544" s="89">
        <f t="shared" si="41"/>
        <v>15347.52</v>
      </c>
      <c r="J544" s="89">
        <f t="shared" si="41"/>
        <v>362.71</v>
      </c>
      <c r="K544" s="89">
        <f t="shared" si="41"/>
        <v>423.23</v>
      </c>
      <c r="L544" s="89">
        <f t="shared" si="41"/>
        <v>4116304.3499999996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2402051.1700000004</v>
      </c>
      <c r="G548" s="87">
        <f>L525</f>
        <v>599986.11</v>
      </c>
      <c r="H548" s="87">
        <f>L530</f>
        <v>81261.73</v>
      </c>
      <c r="I548" s="87">
        <f>L535</f>
        <v>1345.83</v>
      </c>
      <c r="J548" s="87">
        <f>L540</f>
        <v>45332.88</v>
      </c>
      <c r="K548" s="87">
        <f>SUM(F548:J548)</f>
        <v>3129977.72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595584.9</v>
      </c>
      <c r="G550" s="87">
        <f>L527</f>
        <v>321587.73000000004</v>
      </c>
      <c r="H550" s="87">
        <f>L532</f>
        <v>43756.32</v>
      </c>
      <c r="I550" s="87">
        <f>L537</f>
        <v>724.68</v>
      </c>
      <c r="J550" s="87">
        <f>L542</f>
        <v>24673</v>
      </c>
      <c r="K550" s="87">
        <f>SUM(F550:J550)</f>
        <v>986326.63000000012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2997636.0700000003</v>
      </c>
      <c r="G551" s="89">
        <f t="shared" si="42"/>
        <v>921573.84000000008</v>
      </c>
      <c r="H551" s="89">
        <f t="shared" si="42"/>
        <v>125018.04999999999</v>
      </c>
      <c r="I551" s="89">
        <f t="shared" si="42"/>
        <v>2070.5099999999998</v>
      </c>
      <c r="J551" s="89">
        <f t="shared" si="42"/>
        <v>70005.88</v>
      </c>
      <c r="K551" s="89">
        <f t="shared" si="42"/>
        <v>4116304.3500000006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29029.38*0.65</f>
        <v>18869.097000000002</v>
      </c>
      <c r="G561" s="18">
        <f>6052.84*0.65</f>
        <v>3934.346</v>
      </c>
      <c r="H561" s="18"/>
      <c r="I561" s="18"/>
      <c r="J561" s="18"/>
      <c r="K561" s="18"/>
      <c r="L561" s="88">
        <f>SUM(F561:K561)</f>
        <v>22803.443000000003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29029.38-F561</f>
        <v>10160.282999999999</v>
      </c>
      <c r="G563" s="18">
        <f>6052.84-G561</f>
        <v>2118.4940000000001</v>
      </c>
      <c r="H563" s="18"/>
      <c r="I563" s="18"/>
      <c r="J563" s="18"/>
      <c r="K563" s="18"/>
      <c r="L563" s="88">
        <f>SUM(F563:K563)</f>
        <v>12278.777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29029.38</v>
      </c>
      <c r="G564" s="89">
        <f t="shared" si="44"/>
        <v>6052.84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35082.22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29029.38</v>
      </c>
      <c r="G570" s="89">
        <f t="shared" ref="G570:L570" si="46">G559+G564+G569</f>
        <v>6052.84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35082.22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3135.76</v>
      </c>
      <c r="G578" s="18"/>
      <c r="H578" s="18">
        <v>37467.65</v>
      </c>
      <c r="I578" s="87">
        <f t="shared" si="47"/>
        <v>40603.410000000003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81526.87</v>
      </c>
      <c r="G581" s="18"/>
      <c r="H581" s="18">
        <v>66241.34</v>
      </c>
      <c r="I581" s="87">
        <f t="shared" si="47"/>
        <v>147768.21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94878.89</v>
      </c>
      <c r="I583" s="87">
        <f t="shared" si="47"/>
        <v>94878.89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441180.77</v>
      </c>
      <c r="I590" s="18"/>
      <c r="J590" s="18">
        <v>237558.88</v>
      </c>
      <c r="K590" s="104">
        <f t="shared" ref="K590:K596" si="48">SUM(H590:J590)</f>
        <v>678739.65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45332.88</v>
      </c>
      <c r="I591" s="18"/>
      <c r="J591" s="18">
        <v>24673</v>
      </c>
      <c r="K591" s="104">
        <f t="shared" si="48"/>
        <v>70005.88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10698.2</v>
      </c>
      <c r="K592" s="104">
        <f t="shared" si="48"/>
        <v>10698.2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54140.07</v>
      </c>
      <c r="K593" s="104">
        <f t="shared" si="48"/>
        <v>54140.07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4802.23+3936+22574.91</f>
        <v>31313.14</v>
      </c>
      <c r="I594" s="18"/>
      <c r="J594" s="18">
        <v>6192.28</v>
      </c>
      <c r="K594" s="104">
        <f t="shared" si="48"/>
        <v>37505.42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3924.04</v>
      </c>
      <c r="I596" s="18"/>
      <c r="J596" s="18"/>
      <c r="K596" s="104">
        <f t="shared" si="48"/>
        <v>3924.04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521750.83</v>
      </c>
      <c r="I597" s="108">
        <f>SUM(I590:I596)</f>
        <v>0</v>
      </c>
      <c r="J597" s="108">
        <f>SUM(J590:J596)</f>
        <v>333262.43000000005</v>
      </c>
      <c r="K597" s="108">
        <f>SUM(K590:K596)</f>
        <v>855013.26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140805.74</v>
      </c>
      <c r="I603" s="18"/>
      <c r="J603" s="18">
        <v>80811.839999999997</v>
      </c>
      <c r="K603" s="104">
        <f>SUM(H603:J603)</f>
        <v>221617.58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140805.74</v>
      </c>
      <c r="I604" s="108">
        <f>SUM(I601:I603)</f>
        <v>0</v>
      </c>
      <c r="J604" s="108">
        <f>SUM(J601:J603)</f>
        <v>80811.839999999997</v>
      </c>
      <c r="K604" s="108">
        <f>SUM(K601:K603)</f>
        <v>221617.58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19135+3840</f>
        <v>22975</v>
      </c>
      <c r="G610" s="18">
        <f>1757.65+337.95+1834.09+60.52</f>
        <v>3990.2099999999996</v>
      </c>
      <c r="H610" s="18"/>
      <c r="I610" s="18">
        <v>407.35</v>
      </c>
      <c r="J610" s="18"/>
      <c r="K610" s="18"/>
      <c r="L610" s="88">
        <f>SUM(F610:K610)</f>
        <v>27372.559999999998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22975</v>
      </c>
      <c r="G613" s="108">
        <f t="shared" si="49"/>
        <v>3990.2099999999996</v>
      </c>
      <c r="H613" s="108">
        <f t="shared" si="49"/>
        <v>0</v>
      </c>
      <c r="I613" s="108">
        <f t="shared" si="49"/>
        <v>407.35</v>
      </c>
      <c r="J613" s="108">
        <f t="shared" si="49"/>
        <v>0</v>
      </c>
      <c r="K613" s="108">
        <f t="shared" si="49"/>
        <v>0</v>
      </c>
      <c r="L613" s="89">
        <f t="shared" si="49"/>
        <v>27372.559999999998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5188667.82</v>
      </c>
      <c r="H616" s="109">
        <f>SUM(F51)</f>
        <v>5188667.8199999994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1934023.9700000002</v>
      </c>
      <c r="H617" s="109">
        <f>SUM(G51)</f>
        <v>1934023.97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2125842.17</v>
      </c>
      <c r="H618" s="109">
        <f>SUM(H51)</f>
        <v>2125842.17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3253.4900000000002</v>
      </c>
      <c r="H619" s="109">
        <f>SUM(I51)</f>
        <v>3253.4900000000002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586759.35</v>
      </c>
      <c r="H620" s="109">
        <f>SUM(J51)</f>
        <v>586759.35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1038987.2</v>
      </c>
      <c r="H621" s="109">
        <f>F475</f>
        <v>1038987.200000003</v>
      </c>
      <c r="I621" s="121" t="s">
        <v>101</v>
      </c>
      <c r="J621" s="109">
        <f t="shared" ref="J621:J654" si="50">G621-H621</f>
        <v>-3.0267983675003052E-9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24085.08</v>
      </c>
      <c r="H622" s="109">
        <f>G475</f>
        <v>24085.079999999958</v>
      </c>
      <c r="I622" s="121" t="s">
        <v>102</v>
      </c>
      <c r="J622" s="109">
        <f t="shared" si="50"/>
        <v>4.3655745685100555E-11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1149.92</v>
      </c>
      <c r="H623" s="109">
        <f>H475</f>
        <v>1149.9199999999255</v>
      </c>
      <c r="I623" s="121" t="s">
        <v>103</v>
      </c>
      <c r="J623" s="109">
        <f t="shared" si="50"/>
        <v>7.4578565545380116E-11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3231.11</v>
      </c>
      <c r="H624" s="109">
        <f>I475</f>
        <v>3231.11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561759.35</v>
      </c>
      <c r="H625" s="109">
        <f>J475</f>
        <v>561759.35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19647943.439999998</v>
      </c>
      <c r="H626" s="104">
        <f>SUM(F467)</f>
        <v>19647943.440000001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414183.41000000003</v>
      </c>
      <c r="H627" s="104">
        <f>SUM(G467)</f>
        <v>414183.41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555395.77</v>
      </c>
      <c r="H628" s="104">
        <f>SUM(H467)</f>
        <v>555395.7699999999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50335.09</v>
      </c>
      <c r="H630" s="104">
        <f>SUM(J467)</f>
        <v>50335.09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19307899.189999998</v>
      </c>
      <c r="H631" s="104">
        <f>SUM(F471)</f>
        <v>19307899.190000001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572388.24</v>
      </c>
      <c r="H632" s="104">
        <f>SUM(H471)</f>
        <v>572388.24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169.26</v>
      </c>
      <c r="H633" s="104">
        <f>I368</f>
        <v>169.26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417717.97</v>
      </c>
      <c r="H634" s="104">
        <f>SUM(G471)</f>
        <v>417717.97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50335.09</v>
      </c>
      <c r="H636" s="164">
        <f>SUM(J467)</f>
        <v>50335.09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586759.35</v>
      </c>
      <c r="H638" s="104">
        <f>SUM(F460)</f>
        <v>586759.35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586759.35</v>
      </c>
      <c r="H641" s="104">
        <f>SUM(I460)</f>
        <v>586759.35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335.09</v>
      </c>
      <c r="H643" s="104">
        <f>H407</f>
        <v>335.09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50335.09</v>
      </c>
      <c r="H645" s="104">
        <f>L407</f>
        <v>50335.09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855013.26</v>
      </c>
      <c r="H646" s="104">
        <f>L207+L225+L243</f>
        <v>855013.26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221617.58</v>
      </c>
      <c r="H647" s="104">
        <f>(J256+J337)-(J254+J335)</f>
        <v>221617.58000000005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521750.83250000002</v>
      </c>
      <c r="H648" s="104">
        <f>H597</f>
        <v>521750.83</v>
      </c>
      <c r="I648" s="140" t="s">
        <v>389</v>
      </c>
      <c r="J648" s="109">
        <f t="shared" si="50"/>
        <v>2.5000000023283064E-3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333262.42749999999</v>
      </c>
      <c r="H650" s="104">
        <f>J597</f>
        <v>333262.43000000005</v>
      </c>
      <c r="I650" s="140" t="s">
        <v>391</v>
      </c>
      <c r="J650" s="109">
        <f t="shared" si="50"/>
        <v>-2.5000000605359674E-3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13392206.319499997</v>
      </c>
      <c r="G659" s="19">
        <f>(L228+L308+L358)</f>
        <v>0</v>
      </c>
      <c r="H659" s="19">
        <f>(L246+L327+L359)</f>
        <v>6557531.0504999999</v>
      </c>
      <c r="I659" s="19">
        <f>SUM(F659:H659)</f>
        <v>19949737.369999997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153887.01356133996</v>
      </c>
      <c r="G660" s="19">
        <f>(L358/IF(SUM(L357:L359)=0,1,SUM(L357:L359))*(SUM(G96:G109)))</f>
        <v>0</v>
      </c>
      <c r="H660" s="19">
        <f>(L359/IF(SUM(L357:L359)=0,1,SUM(L357:L359))*(SUM(G96:G109)))</f>
        <v>82137.396438660027</v>
      </c>
      <c r="I660" s="19">
        <f>SUM(F660:H660)</f>
        <v>236024.40999999997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522725.83250000002</v>
      </c>
      <c r="G661" s="19">
        <f>(L225+L305)-(J225+J305)</f>
        <v>0</v>
      </c>
      <c r="H661" s="19">
        <f>(L243+L324)-(J243+J324)</f>
        <v>333787.42749999999</v>
      </c>
      <c r="I661" s="19">
        <f>SUM(F661:H661)</f>
        <v>856513.26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252840.93</v>
      </c>
      <c r="G662" s="200">
        <f>SUM(G574:G586)+SUM(I601:I603)+L611</f>
        <v>0</v>
      </c>
      <c r="H662" s="200">
        <f>SUM(H574:H586)+SUM(J601:J603)+L612</f>
        <v>279399.71999999997</v>
      </c>
      <c r="I662" s="19">
        <f>SUM(F662:H662)</f>
        <v>532240.64999999991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12462752.543438658</v>
      </c>
      <c r="G663" s="19">
        <f>G659-SUM(G660:G662)</f>
        <v>0</v>
      </c>
      <c r="H663" s="19">
        <f>H659-SUM(H660:H662)</f>
        <v>5862206.5065613398</v>
      </c>
      <c r="I663" s="19">
        <f>I659-SUM(I660:I662)</f>
        <v>18324959.049999997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716.04</v>
      </c>
      <c r="G664" s="249"/>
      <c r="H664" s="249">
        <v>364.67</v>
      </c>
      <c r="I664" s="19">
        <f>SUM(F664:H664)</f>
        <v>1080.71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17405.11</v>
      </c>
      <c r="G666" s="19" t="e">
        <f>ROUND(G663/G664,2)</f>
        <v>#DIV/0!</v>
      </c>
      <c r="H666" s="19">
        <f>ROUND(H663/H664,2)</f>
        <v>16075.37</v>
      </c>
      <c r="I666" s="19">
        <f>ROUND(I663/I664,2)</f>
        <v>16956.41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-12.62</v>
      </c>
      <c r="I669" s="19">
        <f>SUM(F669:H669)</f>
        <v>-12.62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17405.11</v>
      </c>
      <c r="G671" s="19" t="e">
        <f>ROUND((G663+G668)/(G664+G669),2)</f>
        <v>#DIV/0!</v>
      </c>
      <c r="H671" s="19">
        <f>ROUND((H663+H668)/(H664+H669),2)</f>
        <v>16651.63</v>
      </c>
      <c r="I671" s="19">
        <f>ROUND((I663+I668)/(I664+I669),2)</f>
        <v>17156.759999999998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Inter-lakes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5423749.21</v>
      </c>
      <c r="C9" s="230">
        <f>'DOE25'!G196+'DOE25'!G214+'DOE25'!G232+'DOE25'!G275+'DOE25'!G294+'DOE25'!G313</f>
        <v>2326827.6199999996</v>
      </c>
    </row>
    <row r="10" spans="1:3" x14ac:dyDescent="0.2">
      <c r="A10" t="s">
        <v>779</v>
      </c>
      <c r="B10" s="241">
        <v>5019852.88</v>
      </c>
      <c r="C10" s="241">
        <v>2236143.86</v>
      </c>
    </row>
    <row r="11" spans="1:3" x14ac:dyDescent="0.2">
      <c r="A11" t="s">
        <v>780</v>
      </c>
      <c r="B11" s="241">
        <v>225466.27</v>
      </c>
      <c r="C11" s="241">
        <v>69348.990000000005</v>
      </c>
    </row>
    <row r="12" spans="1:3" x14ac:dyDescent="0.2">
      <c r="A12" t="s">
        <v>781</v>
      </c>
      <c r="B12" s="241">
        <v>178430.06</v>
      </c>
      <c r="C12" s="241">
        <v>21334.77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5423749.209999999</v>
      </c>
      <c r="C13" s="232">
        <f>SUM(C10:C12)</f>
        <v>2326827.62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1968539.9500000002</v>
      </c>
      <c r="C18" s="230">
        <f>'DOE25'!G197+'DOE25'!G215+'DOE25'!G233+'DOE25'!G276+'DOE25'!G295+'DOE25'!G314</f>
        <v>818222.4</v>
      </c>
    </row>
    <row r="19" spans="1:3" x14ac:dyDescent="0.2">
      <c r="A19" t="s">
        <v>779</v>
      </c>
      <c r="B19" s="241">
        <v>916209.65</v>
      </c>
      <c r="C19" s="241">
        <v>410779.22</v>
      </c>
    </row>
    <row r="20" spans="1:3" x14ac:dyDescent="0.2">
      <c r="A20" t="s">
        <v>780</v>
      </c>
      <c r="B20" s="241">
        <v>1047911.55</v>
      </c>
      <c r="C20" s="241">
        <v>407076.52</v>
      </c>
    </row>
    <row r="21" spans="1:3" x14ac:dyDescent="0.2">
      <c r="A21" t="s">
        <v>781</v>
      </c>
      <c r="B21" s="241">
        <v>4418.75</v>
      </c>
      <c r="C21" s="241">
        <v>366.66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1968539.9500000002</v>
      </c>
      <c r="C22" s="232">
        <f>SUM(C19:C21)</f>
        <v>818222.4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265872.38</v>
      </c>
      <c r="C36" s="236">
        <f>'DOE25'!G199+'DOE25'!G217+'DOE25'!G235+'DOE25'!G278+'DOE25'!G297+'DOE25'!G316</f>
        <v>40661.11</v>
      </c>
    </row>
    <row r="37" spans="1:3" x14ac:dyDescent="0.2">
      <c r="A37" t="s">
        <v>779</v>
      </c>
      <c r="B37" s="241">
        <v>69135</v>
      </c>
      <c r="C37" s="241">
        <v>17409.59</v>
      </c>
    </row>
    <row r="38" spans="1:3" x14ac:dyDescent="0.2">
      <c r="A38" t="s">
        <v>780</v>
      </c>
      <c r="B38" s="241">
        <v>3840</v>
      </c>
      <c r="C38" s="241">
        <v>643.51</v>
      </c>
    </row>
    <row r="39" spans="1:3" x14ac:dyDescent="0.2">
      <c r="A39" t="s">
        <v>781</v>
      </c>
      <c r="B39" s="241">
        <v>192897.38</v>
      </c>
      <c r="C39" s="241">
        <v>22608.01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265872.38</v>
      </c>
      <c r="C40" s="232">
        <f>SUM(C37:C39)</f>
        <v>40661.11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Inter-lakes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11057719.799999999</v>
      </c>
      <c r="D5" s="20">
        <f>SUM('DOE25'!L196:L199)+SUM('DOE25'!L214:L217)+SUM('DOE25'!L232:L235)-F5-G5</f>
        <v>11016075.289999999</v>
      </c>
      <c r="E5" s="244"/>
      <c r="F5" s="256">
        <f>SUM('DOE25'!J196:J199)+SUM('DOE25'!J214:J217)+SUM('DOE25'!J232:J235)</f>
        <v>25638.61</v>
      </c>
      <c r="G5" s="53">
        <f>SUM('DOE25'!K196:K199)+SUM('DOE25'!K214:K217)+SUM('DOE25'!K232:K235)</f>
        <v>16005.9</v>
      </c>
      <c r="H5" s="260"/>
    </row>
    <row r="6" spans="1:9" x14ac:dyDescent="0.2">
      <c r="A6" s="32">
        <v>2100</v>
      </c>
      <c r="B6" t="s">
        <v>801</v>
      </c>
      <c r="C6" s="246">
        <f t="shared" si="0"/>
        <v>1374364.58</v>
      </c>
      <c r="D6" s="20">
        <f>'DOE25'!L201+'DOE25'!L219+'DOE25'!L237-F6-G6</f>
        <v>1373962.04</v>
      </c>
      <c r="E6" s="244"/>
      <c r="F6" s="256">
        <f>'DOE25'!J201+'DOE25'!J219+'DOE25'!J237</f>
        <v>277.52</v>
      </c>
      <c r="G6" s="53">
        <f>'DOE25'!K201+'DOE25'!K219+'DOE25'!K237</f>
        <v>125.02000000000001</v>
      </c>
      <c r="H6" s="260"/>
    </row>
    <row r="7" spans="1:9" x14ac:dyDescent="0.2">
      <c r="A7" s="32">
        <v>2200</v>
      </c>
      <c r="B7" t="s">
        <v>834</v>
      </c>
      <c r="C7" s="246">
        <f t="shared" si="0"/>
        <v>1201359.43</v>
      </c>
      <c r="D7" s="20">
        <f>'DOE25'!L202+'DOE25'!L220+'DOE25'!L238-F7-G7</f>
        <v>1039089.6399999999</v>
      </c>
      <c r="E7" s="244"/>
      <c r="F7" s="256">
        <f>'DOE25'!J202+'DOE25'!J220+'DOE25'!J238</f>
        <v>159706.25</v>
      </c>
      <c r="G7" s="53">
        <f>'DOE25'!K202+'DOE25'!K220+'DOE25'!K238</f>
        <v>2563.54</v>
      </c>
      <c r="H7" s="260"/>
    </row>
    <row r="8" spans="1:9" x14ac:dyDescent="0.2">
      <c r="A8" s="32">
        <v>2300</v>
      </c>
      <c r="B8" t="s">
        <v>802</v>
      </c>
      <c r="C8" s="246">
        <f t="shared" si="0"/>
        <v>370182.37</v>
      </c>
      <c r="D8" s="244"/>
      <c r="E8" s="20">
        <f>'DOE25'!L203+'DOE25'!L221+'DOE25'!L239-F8-G8-D9-D11</f>
        <v>361293.46</v>
      </c>
      <c r="F8" s="256">
        <f>'DOE25'!J203+'DOE25'!J221+'DOE25'!J239</f>
        <v>0</v>
      </c>
      <c r="G8" s="53">
        <f>'DOE25'!K203+'DOE25'!K221+'DOE25'!K239</f>
        <v>8888.91</v>
      </c>
      <c r="H8" s="260"/>
    </row>
    <row r="9" spans="1:9" x14ac:dyDescent="0.2">
      <c r="A9" s="32">
        <v>2310</v>
      </c>
      <c r="B9" t="s">
        <v>818</v>
      </c>
      <c r="C9" s="246">
        <f t="shared" si="0"/>
        <v>79716.12</v>
      </c>
      <c r="D9" s="245">
        <f>38848.12+40868</f>
        <v>79716.12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22000</v>
      </c>
      <c r="D10" s="244"/>
      <c r="E10" s="245">
        <v>22000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326744.33</v>
      </c>
      <c r="D11" s="245">
        <v>326744.33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1151444.6099999999</v>
      </c>
      <c r="D12" s="20">
        <f>'DOE25'!L204+'DOE25'!L222+'DOE25'!L240-F12-G12</f>
        <v>1140057.1499999999</v>
      </c>
      <c r="E12" s="244"/>
      <c r="F12" s="256">
        <f>'DOE25'!J204+'DOE25'!J222+'DOE25'!J240</f>
        <v>1219.46</v>
      </c>
      <c r="G12" s="53">
        <f>'DOE25'!K204+'DOE25'!K222+'DOE25'!K240</f>
        <v>10168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19400.63</v>
      </c>
      <c r="D13" s="244"/>
      <c r="E13" s="20">
        <f>'DOE25'!L205+'DOE25'!L223+'DOE25'!L241-F13-G13</f>
        <v>15298.810000000001</v>
      </c>
      <c r="F13" s="256">
        <f>'DOE25'!J205+'DOE25'!J223+'DOE25'!J241</f>
        <v>4101.82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1958204.0099999998</v>
      </c>
      <c r="D14" s="20">
        <f>'DOE25'!L206+'DOE25'!L224+'DOE25'!L242-F14-G14</f>
        <v>1947555.8699999999</v>
      </c>
      <c r="E14" s="244"/>
      <c r="F14" s="256">
        <f>'DOE25'!J206+'DOE25'!J224+'DOE25'!J242</f>
        <v>10548.14</v>
      </c>
      <c r="G14" s="53">
        <f>'DOE25'!K206+'DOE25'!K224+'DOE25'!K242</f>
        <v>100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855013.26</v>
      </c>
      <c r="D15" s="20">
        <f>'DOE25'!L207+'DOE25'!L225+'DOE25'!L243-F15-G15</f>
        <v>855013.26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565482.02</v>
      </c>
      <c r="D16" s="244"/>
      <c r="E16" s="20">
        <f>'DOE25'!L208+'DOE25'!L226+'DOE25'!L244-F16-G16</f>
        <v>565482.02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298268.03000000003</v>
      </c>
      <c r="D25" s="244"/>
      <c r="E25" s="244"/>
      <c r="F25" s="259"/>
      <c r="G25" s="257"/>
      <c r="H25" s="258">
        <f>'DOE25'!L259+'DOE25'!L260+'DOE25'!L340+'DOE25'!L341</f>
        <v>298268.03000000003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417717.97</v>
      </c>
      <c r="D29" s="20">
        <f>'DOE25'!L357+'DOE25'!L358+'DOE25'!L359-'DOE25'!I366-F29-G29</f>
        <v>414947.66</v>
      </c>
      <c r="E29" s="244"/>
      <c r="F29" s="256">
        <f>'DOE25'!J357+'DOE25'!J358+'DOE25'!J359</f>
        <v>2184</v>
      </c>
      <c r="G29" s="53">
        <f>'DOE25'!K357+'DOE25'!K358+'DOE25'!K359</f>
        <v>586.30999999999995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572388.24</v>
      </c>
      <c r="D31" s="20">
        <f>'DOE25'!L289+'DOE25'!L308+'DOE25'!L327+'DOE25'!L332+'DOE25'!L333+'DOE25'!L334-F31-G31</f>
        <v>534734.47</v>
      </c>
      <c r="E31" s="244"/>
      <c r="F31" s="256">
        <f>'DOE25'!J289+'DOE25'!J308+'DOE25'!J327+'DOE25'!J332+'DOE25'!J333+'DOE25'!J334</f>
        <v>20125.78</v>
      </c>
      <c r="G31" s="53">
        <f>'DOE25'!K289+'DOE25'!K308+'DOE25'!K327+'DOE25'!K332+'DOE25'!K333+'DOE25'!K334</f>
        <v>17527.990000000002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18727895.829999998</v>
      </c>
      <c r="E33" s="247">
        <f>SUM(E5:E31)</f>
        <v>964074.29</v>
      </c>
      <c r="F33" s="247">
        <f>SUM(F5:F31)</f>
        <v>223801.58</v>
      </c>
      <c r="G33" s="247">
        <f>SUM(G5:G31)</f>
        <v>55965.67</v>
      </c>
      <c r="H33" s="247">
        <f>SUM(H5:H31)</f>
        <v>298268.03000000003</v>
      </c>
    </row>
    <row r="35" spans="2:8" ht="12" thickBot="1" x14ac:dyDescent="0.25">
      <c r="B35" s="254" t="s">
        <v>847</v>
      </c>
      <c r="D35" s="255">
        <f>E33</f>
        <v>964074.29</v>
      </c>
      <c r="E35" s="250"/>
    </row>
    <row r="36" spans="2:8" ht="12" thickTop="1" x14ac:dyDescent="0.2">
      <c r="B36" t="s">
        <v>815</v>
      </c>
      <c r="D36" s="20">
        <f>D33</f>
        <v>18727895.829999998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66" activePane="bottomLeft" state="frozen"/>
      <selection pane="bottomLeft" activeCell="C140" sqref="C1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914442.23</v>
      </c>
      <c r="D8" s="95">
        <f>'DOE25'!G9</f>
        <v>0</v>
      </c>
      <c r="E8" s="95">
        <f>'DOE25'!H9</f>
        <v>0</v>
      </c>
      <c r="F8" s="95">
        <f>'DOE25'!I9</f>
        <v>3231.11</v>
      </c>
      <c r="G8" s="95">
        <f>'DOE25'!J9</f>
        <v>561759.35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4052315.91</v>
      </c>
      <c r="D11" s="95">
        <f>'DOE25'!G12</f>
        <v>1883246.79</v>
      </c>
      <c r="E11" s="95">
        <f>'DOE25'!H12</f>
        <v>1995260.73</v>
      </c>
      <c r="F11" s="95">
        <f>'DOE25'!I12</f>
        <v>22.38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129194.46</v>
      </c>
      <c r="D12" s="95">
        <f>'DOE25'!G13</f>
        <v>56641.81</v>
      </c>
      <c r="E12" s="95">
        <f>'DOE25'!H13</f>
        <v>130581.44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4200.22</v>
      </c>
      <c r="D13" s="95">
        <f>'DOE25'!G14</f>
        <v>-5864.63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88515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5188667.82</v>
      </c>
      <c r="D18" s="41">
        <f>SUM(D8:D17)</f>
        <v>1934023.9700000002</v>
      </c>
      <c r="E18" s="41">
        <f>SUM(E8:E17)</f>
        <v>2125842.17</v>
      </c>
      <c r="F18" s="41">
        <f>SUM(F8:F17)</f>
        <v>3253.4900000000002</v>
      </c>
      <c r="G18" s="41">
        <f>SUM(G8:G17)</f>
        <v>586759.35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3903529.9</v>
      </c>
      <c r="D21" s="95">
        <f>'DOE25'!G22</f>
        <v>1909938.89</v>
      </c>
      <c r="E21" s="95">
        <f>'DOE25'!H22</f>
        <v>2117354.64</v>
      </c>
      <c r="F21" s="95">
        <f>'DOE25'!I22</f>
        <v>22.38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225578.28</v>
      </c>
      <c r="D23" s="95">
        <f>'DOE25'!G24</f>
        <v>0</v>
      </c>
      <c r="E23" s="95">
        <f>'DOE25'!H24</f>
        <v>5586.3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14779.44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5793</v>
      </c>
      <c r="D29" s="95">
        <f>'DOE25'!G30</f>
        <v>0</v>
      </c>
      <c r="E29" s="95">
        <f>'DOE25'!H30</f>
        <v>1751.31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4149680.6199999996</v>
      </c>
      <c r="D31" s="41">
        <f>SUM(D21:D30)</f>
        <v>1909938.89</v>
      </c>
      <c r="E31" s="41">
        <f>SUM(E21:E30)</f>
        <v>2124692.25</v>
      </c>
      <c r="F31" s="41">
        <f>SUM(F21:F30)</f>
        <v>22.38</v>
      </c>
      <c r="G31" s="41">
        <f>SUM(G21:G30)</f>
        <v>25000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24085.08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1149.92</v>
      </c>
      <c r="F46" s="95">
        <f>'DOE25'!I47</f>
        <v>3231.11</v>
      </c>
      <c r="G46" s="95">
        <f>'DOE25'!J47</f>
        <v>561759.35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415544.18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573443.02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1038987.2</v>
      </c>
      <c r="D49" s="41">
        <f>SUM(D34:D48)</f>
        <v>24085.08</v>
      </c>
      <c r="E49" s="41">
        <f>SUM(E34:E48)</f>
        <v>1149.92</v>
      </c>
      <c r="F49" s="41">
        <f>SUM(F34:F48)</f>
        <v>3231.11</v>
      </c>
      <c r="G49" s="41">
        <f>SUM(G34:G48)</f>
        <v>561759.35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5188667.8199999994</v>
      </c>
      <c r="D50" s="41">
        <f>D49+D31</f>
        <v>1934023.97</v>
      </c>
      <c r="E50" s="41">
        <f>E49+E31</f>
        <v>2125842.17</v>
      </c>
      <c r="F50" s="41">
        <f>F49+F31</f>
        <v>3253.4900000000002</v>
      </c>
      <c r="G50" s="41">
        <f>G49+G31</f>
        <v>586759.35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12558829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60730.85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4430.25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335.09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236024.41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45112.780000000006</v>
      </c>
      <c r="D60" s="95">
        <f>SUM('DOE25'!G97:G109)</f>
        <v>0</v>
      </c>
      <c r="E60" s="95">
        <f>SUM('DOE25'!H97:H109)</f>
        <v>25088.13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110273.88</v>
      </c>
      <c r="D61" s="130">
        <f>SUM(D56:D60)</f>
        <v>236024.41</v>
      </c>
      <c r="E61" s="130">
        <f>SUM(E56:E60)</f>
        <v>25088.13</v>
      </c>
      <c r="F61" s="130">
        <f>SUM(F56:F60)</f>
        <v>0</v>
      </c>
      <c r="G61" s="130">
        <f>SUM(G56:G60)</f>
        <v>335.09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12669102.880000001</v>
      </c>
      <c r="D62" s="22">
        <f>D55+D61</f>
        <v>236024.41</v>
      </c>
      <c r="E62" s="22">
        <f>E55+E61</f>
        <v>25088.13</v>
      </c>
      <c r="F62" s="22">
        <f>F55+F61</f>
        <v>0</v>
      </c>
      <c r="G62" s="22">
        <f>G55+G61</f>
        <v>335.09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248765.46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6353570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215.54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15555.85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6618106.8499999996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180626.45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22346.65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10583.84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5578.92</v>
      </c>
      <c r="E76" s="95">
        <f>SUM('DOE25'!H130:H134)</f>
        <v>140709.41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213556.94</v>
      </c>
      <c r="D77" s="130">
        <f>SUM(D71:D76)</f>
        <v>5578.92</v>
      </c>
      <c r="E77" s="130">
        <f>SUM(E71:E76)</f>
        <v>140709.41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6831663.79</v>
      </c>
      <c r="D80" s="130">
        <f>SUM(D78:D79)+D77+D69</f>
        <v>5578.92</v>
      </c>
      <c r="E80" s="130">
        <f>SUM(E78:E79)+E77+E69</f>
        <v>140709.41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135316.26</v>
      </c>
      <c r="D87" s="95">
        <f>SUM('DOE25'!G152:G160)</f>
        <v>172580.08</v>
      </c>
      <c r="E87" s="95">
        <f>SUM('DOE25'!H152:H160)</f>
        <v>389598.23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11860.51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147176.77000000002</v>
      </c>
      <c r="D90" s="131">
        <f>SUM(D84:D89)</f>
        <v>172580.08</v>
      </c>
      <c r="E90" s="131">
        <f>SUM(E84:E89)</f>
        <v>389598.23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19647943.440000001</v>
      </c>
      <c r="D103" s="86">
        <f>D62+D80+D90+D102</f>
        <v>414183.41000000003</v>
      </c>
      <c r="E103" s="86">
        <f>E62+E80+E90+E102</f>
        <v>555395.77</v>
      </c>
      <c r="F103" s="86">
        <f>F62+F80+F90+F102</f>
        <v>0</v>
      </c>
      <c r="G103" s="86">
        <f>G62+G80+G102</f>
        <v>50335.09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7635729.3899999987</v>
      </c>
      <c r="D108" s="24" t="s">
        <v>289</v>
      </c>
      <c r="E108" s="95">
        <f>('DOE25'!L275)+('DOE25'!L294)+('DOE25'!L313)</f>
        <v>373913.57999999996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2931490.92</v>
      </c>
      <c r="D109" s="24" t="s">
        <v>289</v>
      </c>
      <c r="E109" s="95">
        <f>('DOE25'!L276)+('DOE25'!L295)+('DOE25'!L314)</f>
        <v>66145.149999999994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94878.89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395620.60000000003</v>
      </c>
      <c r="D111" s="24" t="s">
        <v>289</v>
      </c>
      <c r="E111" s="95">
        <f>+('DOE25'!L278)+('DOE25'!L297)+('DOE25'!L316)</f>
        <v>2872.57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11057719.799999999</v>
      </c>
      <c r="D114" s="86">
        <f>SUM(D108:D113)</f>
        <v>0</v>
      </c>
      <c r="E114" s="86">
        <f>SUM(E108:E113)</f>
        <v>442931.3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1374364.58</v>
      </c>
      <c r="D117" s="24" t="s">
        <v>289</v>
      </c>
      <c r="E117" s="95">
        <f>+('DOE25'!L280)+('DOE25'!L299)+('DOE25'!L318)</f>
        <v>933.09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1201359.43</v>
      </c>
      <c r="D118" s="24" t="s">
        <v>289</v>
      </c>
      <c r="E118" s="95">
        <f>+('DOE25'!L281)+('DOE25'!L300)+('DOE25'!L319)</f>
        <v>102682.16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776642.82000000007</v>
      </c>
      <c r="D119" s="24" t="s">
        <v>289</v>
      </c>
      <c r="E119" s="95">
        <f>+('DOE25'!L282)+('DOE25'!L301)+('DOE25'!L320)</f>
        <v>24341.69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1151444.6099999999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19400.63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1958204.0099999998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855013.26</v>
      </c>
      <c r="D123" s="24" t="s">
        <v>289</v>
      </c>
      <c r="E123" s="95">
        <f>+('DOE25'!L286)+('DOE25'!L305)+('DOE25'!L324)</f>
        <v>1500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565482.02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417717.97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7901911.3599999994</v>
      </c>
      <c r="D127" s="86">
        <f>SUM(D117:D126)</f>
        <v>417717.97</v>
      </c>
      <c r="E127" s="86">
        <f>SUM(E117:E126)</f>
        <v>129456.94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8268.0300000000007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50335.09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-335.08999999999651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348268.03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19307899.189999998</v>
      </c>
      <c r="D144" s="86">
        <f>(D114+D127+D143)</f>
        <v>417717.97</v>
      </c>
      <c r="E144" s="86">
        <f>(E114+E127+E143)</f>
        <v>572388.24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02/12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3.91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290000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290000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290000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290000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Inter-lakes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17405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16652</v>
      </c>
    </row>
    <row r="7" spans="1:4" x14ac:dyDescent="0.2">
      <c r="B7" t="s">
        <v>705</v>
      </c>
      <c r="C7" s="179">
        <f>IF('DOE25'!I664+'DOE25'!I669=0,0,ROUND('DOE25'!I671,0))</f>
        <v>17157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8009643</v>
      </c>
      <c r="D10" s="182">
        <f>ROUND((C10/$C$28)*100,1)</f>
        <v>40.6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2997636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94879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398493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1375298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1304042</v>
      </c>
      <c r="D16" s="182">
        <f t="shared" si="0"/>
        <v>6.6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1366467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1151445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19401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1958204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856513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8268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181693.59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19721982.59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19721982.59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290000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12558829</v>
      </c>
      <c r="D35" s="182">
        <f t="shared" ref="D35:D40" si="1">ROUND((C35/$C$41)*100,1)</f>
        <v>61.6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135697.09999999963</v>
      </c>
      <c r="D36" s="182">
        <f t="shared" si="1"/>
        <v>0.7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6602551</v>
      </c>
      <c r="D37" s="182">
        <f t="shared" si="1"/>
        <v>32.4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375401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709355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20381833.100000001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7" sqref="C17:M1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Inter-lakes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 t="s">
        <v>912</v>
      </c>
      <c r="B4" s="220">
        <v>12</v>
      </c>
      <c r="C4" s="280" t="s">
        <v>913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2012-06-19T17:07:30Z</cp:lastPrinted>
  <dcterms:created xsi:type="dcterms:W3CDTF">1997-12-04T19:04:30Z</dcterms:created>
  <dcterms:modified xsi:type="dcterms:W3CDTF">2012-11-21T14:44:02Z</dcterms:modified>
</cp:coreProperties>
</file>