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0" i="12" l="1"/>
  <c r="K265" i="1" l="1"/>
  <c r="F9" i="1"/>
  <c r="F40" i="2" l="1"/>
  <c r="D39" i="2"/>
  <c r="G654" i="1" l="1"/>
  <c r="F47" i="2" l="1"/>
  <c r="E47" i="2"/>
  <c r="D47" i="2"/>
  <c r="C47" i="2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C69" i="2" s="1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28" i="1" s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38" i="1"/>
  <c r="F12" i="13"/>
  <c r="G12" i="13"/>
  <c r="L204" i="1"/>
  <c r="C18" i="10" s="1"/>
  <c r="L222" i="1"/>
  <c r="L240" i="1"/>
  <c r="F14" i="13"/>
  <c r="G14" i="13"/>
  <c r="L206" i="1"/>
  <c r="D14" i="13" s="1"/>
  <c r="C14" i="13" s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G31" i="13"/>
  <c r="L275" i="1"/>
  <c r="L276" i="1"/>
  <c r="E109" i="2" s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32" i="10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9" i="10"/>
  <c r="L249" i="1"/>
  <c r="L331" i="1"/>
  <c r="L253" i="1"/>
  <c r="C24" i="10" s="1"/>
  <c r="L267" i="1"/>
  <c r="L268" i="1"/>
  <c r="L348" i="1"/>
  <c r="L349" i="1"/>
  <c r="I664" i="1"/>
  <c r="I669" i="1"/>
  <c r="F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C31" i="2" s="1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F31" i="2" s="1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G162" i="2" s="1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622" i="1" s="1"/>
  <c r="H50" i="1"/>
  <c r="G623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I368" i="1" s="1"/>
  <c r="H633" i="1" s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9" i="1"/>
  <c r="J619" i="1" s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G640" i="1"/>
  <c r="H640" i="1"/>
  <c r="H641" i="1"/>
  <c r="G642" i="1"/>
  <c r="H642" i="1"/>
  <c r="G643" i="1"/>
  <c r="G651" i="1"/>
  <c r="H651" i="1"/>
  <c r="G652" i="1"/>
  <c r="H652" i="1"/>
  <c r="J652" i="1" s="1"/>
  <c r="G653" i="1"/>
  <c r="H653" i="1"/>
  <c r="J653" i="1" s="1"/>
  <c r="H654" i="1"/>
  <c r="F191" i="1"/>
  <c r="L255" i="1"/>
  <c r="K256" i="1"/>
  <c r="C26" i="10"/>
  <c r="L327" i="1"/>
  <c r="L350" i="1"/>
  <c r="A31" i="12"/>
  <c r="D12" i="13"/>
  <c r="C12" i="13" s="1"/>
  <c r="G8" i="2"/>
  <c r="G161" i="2"/>
  <c r="D61" i="2"/>
  <c r="D62" i="2" s="1"/>
  <c r="E49" i="2"/>
  <c r="D18" i="13"/>
  <c r="C18" i="13" s="1"/>
  <c r="F102" i="2"/>
  <c r="E18" i="2"/>
  <c r="D17" i="13"/>
  <c r="C17" i="13" s="1"/>
  <c r="G158" i="2"/>
  <c r="G80" i="2"/>
  <c r="F77" i="2"/>
  <c r="F80" i="2" s="1"/>
  <c r="F61" i="2"/>
  <c r="F62" i="2" s="1"/>
  <c r="F49" i="2"/>
  <c r="G160" i="2"/>
  <c r="G155" i="2"/>
  <c r="E143" i="2"/>
  <c r="G102" i="2"/>
  <c r="E102" i="2"/>
  <c r="C102" i="2"/>
  <c r="D90" i="2"/>
  <c r="F90" i="2"/>
  <c r="E61" i="2"/>
  <c r="E62" i="2" s="1"/>
  <c r="G61" i="2"/>
  <c r="D19" i="13"/>
  <c r="C19" i="13" s="1"/>
  <c r="E13" i="13"/>
  <c r="C13" i="13" s="1"/>
  <c r="A40" i="12" l="1"/>
  <c r="A22" i="12"/>
  <c r="L613" i="1"/>
  <c r="I662" i="1"/>
  <c r="L523" i="1"/>
  <c r="L544" i="1" s="1"/>
  <c r="K502" i="1"/>
  <c r="J641" i="1"/>
  <c r="H407" i="1"/>
  <c r="H643" i="1" s="1"/>
  <c r="J643" i="1" s="1"/>
  <c r="G407" i="1"/>
  <c r="H644" i="1" s="1"/>
  <c r="L381" i="1"/>
  <c r="G635" i="1" s="1"/>
  <c r="G660" i="1"/>
  <c r="I660" i="1" s="1"/>
  <c r="D126" i="2"/>
  <c r="D127" i="2" s="1"/>
  <c r="D144" i="2" s="1"/>
  <c r="F660" i="1"/>
  <c r="L361" i="1"/>
  <c r="D29" i="13"/>
  <c r="C29" i="13" s="1"/>
  <c r="C15" i="10"/>
  <c r="F31" i="13"/>
  <c r="E114" i="2"/>
  <c r="L289" i="1"/>
  <c r="J337" i="1"/>
  <c r="J351" i="1" s="1"/>
  <c r="J651" i="1"/>
  <c r="K270" i="1"/>
  <c r="C131" i="2"/>
  <c r="C130" i="2"/>
  <c r="H646" i="1"/>
  <c r="H661" i="1"/>
  <c r="I661" i="1" s="1"/>
  <c r="C123" i="2"/>
  <c r="L246" i="1"/>
  <c r="H659" i="1" s="1"/>
  <c r="G33" i="13"/>
  <c r="C17" i="10"/>
  <c r="F256" i="1"/>
  <c r="F270" i="1" s="1"/>
  <c r="C11" i="10"/>
  <c r="G661" i="1"/>
  <c r="C21" i="10"/>
  <c r="G649" i="1"/>
  <c r="I256" i="1"/>
  <c r="I270" i="1" s="1"/>
  <c r="J649" i="1"/>
  <c r="G256" i="1"/>
  <c r="G270" i="1" s="1"/>
  <c r="C10" i="10"/>
  <c r="D15" i="13"/>
  <c r="C15" i="13" s="1"/>
  <c r="G648" i="1"/>
  <c r="J648" i="1" s="1"/>
  <c r="C20" i="10"/>
  <c r="C120" i="2"/>
  <c r="C119" i="2"/>
  <c r="E8" i="13"/>
  <c r="C8" i="13" s="1"/>
  <c r="C118" i="2"/>
  <c r="D7" i="13"/>
  <c r="C7" i="13" s="1"/>
  <c r="D6" i="13"/>
  <c r="C6" i="13" s="1"/>
  <c r="C117" i="2"/>
  <c r="C108" i="2"/>
  <c r="C114" i="2" s="1"/>
  <c r="L210" i="1"/>
  <c r="F659" i="1" s="1"/>
  <c r="F663" i="1" s="1"/>
  <c r="G644" i="1"/>
  <c r="C90" i="2"/>
  <c r="E90" i="2"/>
  <c r="F139" i="1"/>
  <c r="C61" i="2"/>
  <c r="C62" i="2" s="1"/>
  <c r="G621" i="1"/>
  <c r="F50" i="2"/>
  <c r="H51" i="1"/>
  <c r="H618" i="1" s="1"/>
  <c r="J618" i="1" s="1"/>
  <c r="D31" i="2"/>
  <c r="D50" i="2" s="1"/>
  <c r="E31" i="2"/>
  <c r="E50" i="2" s="1"/>
  <c r="G51" i="1"/>
  <c r="H617" i="1" s="1"/>
  <c r="J617" i="1" s="1"/>
  <c r="J616" i="1"/>
  <c r="F18" i="2"/>
  <c r="C18" i="2"/>
  <c r="C80" i="2"/>
  <c r="C103" i="2" s="1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C23" i="10"/>
  <c r="F168" i="1"/>
  <c r="J139" i="1"/>
  <c r="D103" i="2"/>
  <c r="J637" i="1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I192" i="1"/>
  <c r="G629" i="1" s="1"/>
  <c r="J629" i="1" s="1"/>
  <c r="J551" i="1"/>
  <c r="H551" i="1"/>
  <c r="C29" i="10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C50" i="2" s="1"/>
  <c r="J65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H544" i="1"/>
  <c r="K550" i="1"/>
  <c r="F143" i="2"/>
  <c r="F144" i="2" s="1"/>
  <c r="K551" i="1" l="1"/>
  <c r="J644" i="1"/>
  <c r="C27" i="10"/>
  <c r="C28" i="10" s="1"/>
  <c r="D24" i="10" s="1"/>
  <c r="G634" i="1"/>
  <c r="J634" i="1" s="1"/>
  <c r="E144" i="2"/>
  <c r="H663" i="1"/>
  <c r="H666" i="1" s="1"/>
  <c r="J646" i="1"/>
  <c r="C127" i="2"/>
  <c r="H647" i="1"/>
  <c r="J647" i="1" s="1"/>
  <c r="L256" i="1"/>
  <c r="L270" i="1" s="1"/>
  <c r="G631" i="1" s="1"/>
  <c r="J631" i="1" s="1"/>
  <c r="C39" i="10"/>
  <c r="C41" i="10" s="1"/>
  <c r="D39" i="10" s="1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H671" i="1" l="1"/>
  <c r="D21" i="10"/>
  <c r="C30" i="10"/>
  <c r="D16" i="10"/>
  <c r="D20" i="10"/>
  <c r="D18" i="10"/>
  <c r="D22" i="10"/>
  <c r="D11" i="10"/>
  <c r="D17" i="10"/>
  <c r="D12" i="10"/>
  <c r="D19" i="10"/>
  <c r="D23" i="10"/>
  <c r="D15" i="10"/>
  <c r="D10" i="10"/>
  <c r="D13" i="10"/>
  <c r="D26" i="10"/>
  <c r="D27" i="10"/>
  <c r="D25" i="10"/>
  <c r="C144" i="2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<sst xmlns="http://schemas.openxmlformats.org/spreadsheetml/2006/main" count="3947" uniqueCount="914">
  <si>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</si>
  <si>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</si>
  <si>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</si>
  <si>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</si>
  <si>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</si>
  <si>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</si>
  <si>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</si>
  <si>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</si>
  <si>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</si>
  <si>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</si>
  <si>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</si>
  <si>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</si>
  <si>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</si>
  <si>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</si>
  <si>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</si>
  <si>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</si>
  <si>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</si>
  <si>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</si>
  <si>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</si>
  <si>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</si>
  <si>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</si>
  <si>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</si>
  <si>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</si>
  <si>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</si>
  <si>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</si>
  <si>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</si>
  <si>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</si>
  <si>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</si>
  <si>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</si>
  <si>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</si>
  <si>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</si>
  <si>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</si>
  <si>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</si>
  <si>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</si>
  <si>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</si>
  <si>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</si>
  <si>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</si>
  <si>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</si>
  <si>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</si>
  <si>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</si>
  <si>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</si>
  <si>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</si>
  <si>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</si>
  <si>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</si>
  <si>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</si>
  <si>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</si>
  <si>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</si>
  <si>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</si>
  <si>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</si>
  <si>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</si>
  <si>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</si>
  <si>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</si>
  <si>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</si>
  <si>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</si>
  <si>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</si>
  <si>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</si>
  <si>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</si>
  <si>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</si>
  <si>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</si>
  <si>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</si>
  <si>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</si>
  <si>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</si>
  <si>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</si>
  <si>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</si>
  <si>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</si>
  <si>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</si>
  <si>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</si>
  <si>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</si>
  <si>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</si>
  <si>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</si>
  <si>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</si>
  <si>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</si>
  <si>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</si>
  <si>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</si>
  <si>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</si>
  <si>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</si>
  <si>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</si>
  <si>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</si>
  <si>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</si>
  <si>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</si>
  <si>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</si>
  <si>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</si>
  <si>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</si>
  <si>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</si>
  <si>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</si>
  <si>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</si>
  <si>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</si>
  <si>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</si>
  <si>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</si>
  <si>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</si>
  <si>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</si>
  <si>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</si>
  <si>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</si>
  <si>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</si>
  <si>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</si>
  <si>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</si>
  <si>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</si>
  <si>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</si>
  <si>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</si>
  <si>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</si>
  <si>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</si>
  <si>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</si>
  <si>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</si>
  <si>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</si>
  <si>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</si>
  <si>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</si>
  <si>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</si>
  <si>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</si>
  <si>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</si>
  <si>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</si>
  <si>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</si>
  <si>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</si>
  <si>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</si>
  <si>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</si>
  <si>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</si>
  <si>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</si>
  <si>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</si>
  <si>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</si>
  <si>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</si>
  <si>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</si>
  <si>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</si>
  <si>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</si>
  <si>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</si>
  <si>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</si>
  <si>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</si>
  <si>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</si>
  <si>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</si>
  <si>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</si>
  <si>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</si>
  <si>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</si>
  <si>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</si>
  <si>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</si>
  <si>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</si>
  <si>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</si>
  <si>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</si>
  <si>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</si>
  <si>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</si>
  <si>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</si>
  <si>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</si>
  <si>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</si>
  <si>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</si>
  <si>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</si>
  <si>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</si>
  <si>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</si>
  <si>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</si>
  <si>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</si>
  <si>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</si>
  <si>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</si>
  <si>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</si>
  <si>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</si>
  <si>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</si>
  <si>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</si>
  <si>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</si>
  <si>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</si>
  <si>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</si>
  <si>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</si>
  <si>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</si>
  <si>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</si>
  <si>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</si>
  <si>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</si>
  <si>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</si>
  <si>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</si>
  <si>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</si>
  <si>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</si>
  <si>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</si>
  <si>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</si>
  <si>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</si>
  <si>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</si>
  <si>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</si>
  <si>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</si>
  <si>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</si>
  <si>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</si>
  <si>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</si>
  <si>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</si>
  <si>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</si>
  <si>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</si>
  <si>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</si>
  <si>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</si>
  <si>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</si>
  <si>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</si>
  <si>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</si>
  <si>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</si>
  <si>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</si>
  <si>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</si>
  <si>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</si>
  <si>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</si>
  <si>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</si>
  <si>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</si>
  <si>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</si>
  <si>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</si>
  <si>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</si>
  <si>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</si>
  <si>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</si>
  <si>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</si>
  <si>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</si>
  <si>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</si>
  <si>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</si>
  <si>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</si>
  <si>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</si>
  <si>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</si>
  <si>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</si>
  <si>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</si>
  <si>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</si>
  <si>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</si>
  <si>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</si>
  <si>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</si>
  <si>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</si>
  <si>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</si>
  <si>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</si>
  <si>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</si>
  <si>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</si>
  <si>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</si>
  <si>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</si>
  <si>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</si>
  <si>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</si>
  <si>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</si>
  <si>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</si>
  <si>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</si>
  <si>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</si>
  <si>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</si>
  <si>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</si>
  <si>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</si>
  <si>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</si>
  <si>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</si>
  <si>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</si>
  <si>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</si>
  <si>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</si>
  <si>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</si>
  <si>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</si>
  <si>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</si>
  <si>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</si>
  <si>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</si>
  <si>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</si>
  <si>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</si>
  <si>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</si>
  <si>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</si>
  <si>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</si>
  <si>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</si>
  <si>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</si>
  <si>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</si>
  <si>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</si>
  <si>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</si>
  <si>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</si>
  <si>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</si>
  <si>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</si>
  <si>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</si>
  <si>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</si>
  <si>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</si>
  <si>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</si>
  <si>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</si>
  <si>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</si>
  <si>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</si>
  <si>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</si>
  <si>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</si>
  <si>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</si>
  <si>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</si>
  <si>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</si>
  <si>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</si>
  <si>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</si>
  <si>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</si>
  <si>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</si>
  <si>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</si>
  <si>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</si>
  <si>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</si>
  <si>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</si>
  <si>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</si>
  <si>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</si>
  <si>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</si>
  <si>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</si>
  <si>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</si>
  <si>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</si>
  <si>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</si>
  <si>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</si>
  <si>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</si>
  <si>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</si>
  <si>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</si>
  <si>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</si>
  <si>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</si>
  <si>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</si>
  <si>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</si>
  <si>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</si>
  <si>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</si>
  <si>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</si>
  <si>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</si>
  <si>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</si>
  <si>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</si>
  <si>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</si>
  <si>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</si>
  <si>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</si>
  <si>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</si>
  <si>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</si>
  <si>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</si>
  <si>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</si>
  <si>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</si>
  <si>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</si>
  <si>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</si>
  <si>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</si>
  <si>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</si>
  <si>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</si>
  <si>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</si>
  <si>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</si>
  <si>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</si>
  <si>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</si>
  <si>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</si>
  <si>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</si>
  <si>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</si>
  <si>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</si>
  <si>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</si>
  <si>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</si>
  <si>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</si>
  <si>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</si>
  <si>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</si>
  <si>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</si>
  <si>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</si>
  <si>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</si>
  <si>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</si>
  <si>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</si>
  <si>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</si>
  <si>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</si>
  <si>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</si>
  <si>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</si>
  <si>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</si>
  <si>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</si>
  <si>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</si>
  <si>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</si>
  <si>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</si>
  <si>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</si>
  <si>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</si>
  <si>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</si>
  <si>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</si>
  <si>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</si>
  <si>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</si>
  <si>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</si>
  <si>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</si>
  <si>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</si>
  <si>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</si>
  <si>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</si>
  <si>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</si>
  <si>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</si>
  <si>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</si>
  <si>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</si>
  <si>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</si>
  <si>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</si>
  <si>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</si>
  <si>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</si>
  <si>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</si>
  <si>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</si>
  <si>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</si>
  <si>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</si>
  <si>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</si>
  <si>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</si>
  <si>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</si>
  <si>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</si>
  <si>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</si>
  <si>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</si>
  <si>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</si>
  <si>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</si>
  <si>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</si>
  <si>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</si>
  <si>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</si>
  <si>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</si>
  <si>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</si>
  <si>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</si>
  <si>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</si>
  <si>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</si>
  <si>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</si>
  <si>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</si>
  <si>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</si>
  <si>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</si>
  <si>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</si>
  <si>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</si>
  <si>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</si>
  <si>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</si>
  <si>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</si>
  <si>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</si>
  <si>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</si>
  <si>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</si>
  <si>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</si>
  <si>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</si>
  <si>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</si>
  <si>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</si>
  <si>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</si>
  <si>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</si>
  <si>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</si>
  <si>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</si>
  <si>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</si>
  <si>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</si>
  <si>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</si>
  <si>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</si>
  <si>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</si>
  <si>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</si>
  <si>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</si>
  <si>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</si>
  <si>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</si>
  <si>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</si>
  <si>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</si>
  <si>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</si>
  <si>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</si>
  <si>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</si>
  <si>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</si>
  <si>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</si>
  <si>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</si>
  <si>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</si>
  <si>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</si>
  <si>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</si>
  <si>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</si>
  <si>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</si>
  <si>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</si>
  <si>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</si>
  <si>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</si>
  <si>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</si>
  <si>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</si>
  <si>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</si>
  <si>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</si>
  <si>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</si>
  <si>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</si>
  <si>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</si>
  <si>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</si>
  <si>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</si>
  <si>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</si>
  <si>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</si>
  <si>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</si>
  <si>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</si>
  <si>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</si>
  <si>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</si>
  <si>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</si>
  <si>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</si>
  <si>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</si>
  <si>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</si>
  <si>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</si>
  <si>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</si>
  <si>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</si>
  <si>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</si>
  <si>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</si>
  <si>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</si>
  <si>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</si>
  <si>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</si>
  <si>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</si>
  <si>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</si>
  <si>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</si>
  <si>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</si>
  <si>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</si>
  <si>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</si>
  <si>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</si>
  <si>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</si>
  <si>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</si>
  <si>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</si>
  <si>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</si>
  <si>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</si>
  <si>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</si>
  <si>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</si>
  <si>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</si>
  <si>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</si>
  <si>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</si>
  <si>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</si>
  <si>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</si>
  <si>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</si>
  <si>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</si>
  <si>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</si>
  <si>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</si>
  <si>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</si>
  <si>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</si>
  <si>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</si>
  <si>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</si>
  <si>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</si>
  <si>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</si>
  <si>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</si>
  <si>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</si>
  <si>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</si>
  <si>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</si>
  <si>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</si>
  <si>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</si>
  <si>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</si>
  <si>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</si>
  <si>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</si>
  <si>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</si>
  <si>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</si>
  <si>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</si>
  <si>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</si>
  <si>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</si>
  <si>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</si>
  <si>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</si>
  <si>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</si>
  <si>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</si>
  <si>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</si>
  <si>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</si>
  <si>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</si>
  <si>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</si>
  <si>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</si>
  <si>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</si>
  <si>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</si>
  <si>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</si>
  <si>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</si>
  <si>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</si>
  <si>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</si>
  <si>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</si>
  <si>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</si>
  <si>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</si>
  <si>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</si>
  <si>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</si>
  <si>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</si>
  <si>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</si>
  <si>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</si>
  <si>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</si>
  <si>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</si>
  <si>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</si>
  <si>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</si>
  <si>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</si>
  <si>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</si>
  <si>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</si>
  <si>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</si>
  <si>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</si>
  <si>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</si>
  <si>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</si>
  <si>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</si>
  <si>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</si>
  <si>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</si>
  <si>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</si>
  <si>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</si>
  <si>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</si>
  <si>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</si>
  <si>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</si>
  <si>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</si>
  <si>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</si>
  <si>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</si>
  <si>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</si>
  <si>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</si>
  <si>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</si>
  <si>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</si>
  <si>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</si>
  <si>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</si>
  <si>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</si>
  <si>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</si>
  <si>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</si>
  <si>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</si>
  <si>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</si>
  <si>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</si>
  <si>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</si>
  <si>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</si>
  <si>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</si>
  <si>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</si>
  <si>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</si>
  <si>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</si>
  <si>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</si>
  <si>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</si>
  <si>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</si>
  <si>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</si>
  <si>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</si>
  <si>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</si>
  <si>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</si>
  <si>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</si>
  <si>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</si>
  <si>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</si>
  <si>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</si>
  <si>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</si>
  <si>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</si>
  <si>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</si>
  <si>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</si>
  <si>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</si>
  <si>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</si>
  <si>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</si>
  <si>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</si>
  <si>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</si>
  <si>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</si>
  <si>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</si>
  <si>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</si>
  <si>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</si>
  <si>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</si>
  <si>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</si>
  <si>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</si>
  <si>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</si>
  <si>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</si>
  <si>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</si>
  <si>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</si>
  <si>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</si>
  <si>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</si>
  <si>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</si>
  <si>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</si>
  <si>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</si>
  <si>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</si>
  <si>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</si>
  <si>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</si>
  <si>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</si>
  <si>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</si>
  <si>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</si>
  <si>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</si>
  <si>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</si>
  <si>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</si>
  <si>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</si>
  <si>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</si>
  <si>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</si>
  <si>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</si>
  <si>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</si>
  <si>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</si>
  <si>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</si>
  <si>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</si>
  <si>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</si>
  <si>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</si>
  <si>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</si>
  <si>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</si>
  <si>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</si>
  <si>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</si>
  <si>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</si>
  <si>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</si>
  <si>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</si>
  <si>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</si>
  <si>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</si>
  <si>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</si>
  <si>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</si>
  <si>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</si>
  <si>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</si>
  <si>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</si>
  <si>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</si>
  <si>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</si>
  <si>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</si>
  <si>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</si>
  <si>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</si>
  <si>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</si>
  <si>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</si>
  <si>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</si>
  <si>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</si>
  <si>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</si>
  <si>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</si>
  <si>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</si>
  <si>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</si>
  <si>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</si>
  <si>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</si>
  <si>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</si>
  <si>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</si>
  <si>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</si>
  <si>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</si>
  <si>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</si>
  <si>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</si>
  <si>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</si>
  <si>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</si>
  <si>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</si>
  <si>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</si>
  <si>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</si>
  <si>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</si>
  <si>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</si>
  <si>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</si>
  <si>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</si>
  <si>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</si>
  <si>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</si>
  <si>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</si>
  <si>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</si>
  <si>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</si>
  <si>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</si>
  <si>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</si>
  <si>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</si>
  <si>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</si>
  <si>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</si>
  <si>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</si>
  <si>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</si>
  <si>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</si>
  <si>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</si>
  <si>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</si>
  <si>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</si>
  <si>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</si>
  <si>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</si>
  <si>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</si>
  <si>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</si>
  <si>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</si>
  <si>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</si>
  <si>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</si>
  <si>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</si>
  <si>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</si>
  <si>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</si>
  <si>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</si>
  <si>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</si>
  <si>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</si>
  <si>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</si>
  <si>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</si>
  <si>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</si>
  <si>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</si>
  <si>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</si>
  <si>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</si>
  <si>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</si>
  <si>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</si>
  <si>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</si>
  <si>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</si>
  <si>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</si>
  <si>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</si>
  <si>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</si>
  <si>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</si>
  <si>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</si>
  <si>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</si>
  <si>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</si>
  <si>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</si>
  <si>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</si>
  <si>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</si>
  <si>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</si>
  <si>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</si>
  <si>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</si>
  <si>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</si>
  <si>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</si>
  <si>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</si>
  <si>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</si>
  <si>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</si>
  <si>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</si>
  <si>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</si>
  <si>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</si>
  <si>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</si>
  <si>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</si>
  <si>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</si>
  <si>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</si>
  <si>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</si>
  <si>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</si>
  <si>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</si>
  <si>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</si>
  <si>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</si>
  <si>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</si>
  <si>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</si>
  <si>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</si>
  <si>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</si>
  <si>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</si>
  <si>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</si>
  <si>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</si>
  <si>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</si>
  <si>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</si>
  <si>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</si>
  <si>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</si>
  <si>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</si>
  <si>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</si>
  <si>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</si>
  <si>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</si>
  <si>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</si>
  <si>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</si>
  <si>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</si>
  <si>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</si>
  <si>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</si>
  <si>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</si>
  <si>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</si>
  <si>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</si>
  <si>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</si>
  <si>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</si>
  <si>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</si>
  <si>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</si>
  <si>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</si>
  <si>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</si>
  <si>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</si>
  <si>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</si>
  <si>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</si>
  <si>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</si>
  <si>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</si>
  <si>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</si>
  <si>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</si>
  <si>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</si>
  <si>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</si>
  <si>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</si>
  <si>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</si>
  <si>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</si>
  <si>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</si>
  <si>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</si>
  <si>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</si>
  <si>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</si>
  <si>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</si>
  <si>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</si>
  <si>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</si>
  <si>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</si>
  <si>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</si>
  <si>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</si>
  <si>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</si>
  <si>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</si>
  <si>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</si>
  <si>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</si>
  <si>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</si>
  <si>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</si>
  <si>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</si>
  <si>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</si>
  <si>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</si>
  <si>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</si>
  <si>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</si>
  <si>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</si>
  <si>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</si>
  <si>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</si>
  <si>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</si>
  <si>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</si>
  <si>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</si>
  <si>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</si>
  <si>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</si>
  <si>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</si>
  <si>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</si>
  <si>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</si>
  <si>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</si>
  <si>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</si>
  <si>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</si>
  <si>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</si>
  <si>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</si>
  <si>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</si>
  <si>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</si>
  <si>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</si>
  <si>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</si>
  <si>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</si>
  <si>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</si>
  <si>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</si>
  <si>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</si>
  <si>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</si>
  <si>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</si>
  <si>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</si>
  <si>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</si>
  <si>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</si>
  <si>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</si>
  <si>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</si>
  <si>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</si>
  <si>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</si>
  <si>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</si>
  <si>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</si>
  <si>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</si>
  <si>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</si>
  <si>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</si>
  <si>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</si>
  <si>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</si>
  <si>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</si>
  <si>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</si>
  <si>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</si>
  <si>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</si>
  <si>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</si>
  <si>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</si>
  <si>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</si>
  <si>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</si>
  <si>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</si>
  <si>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</si>
  <si>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</si>
  <si>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</si>
  <si>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</si>
  <si>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</si>
  <si>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</si>
  <si>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</si>
  <si>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</si>
  <si>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</si>
  <si>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</si>
  <si>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</si>
  <si>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</si>
  <si>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</si>
  <si>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</si>
  <si>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</si>
  <si>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</si>
  <si>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</si>
  <si>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</si>
  <si>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</si>
  <si>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</si>
  <si>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</si>
  <si>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</si>
  <si>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</si>
  <si>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</si>
  <si>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</si>
  <si>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</si>
  <si>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</si>
  <si>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</si>
  <si>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</si>
  <si>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</si>
  <si>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</si>
  <si>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</si>
  <si>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</si>
  <si>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</si>
  <si>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</si>
  <si>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</si>
  <si>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</si>
  <si>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</si>
  <si>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</si>
  <si>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</si>
  <si>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</si>
  <si>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</si>
  <si>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</si>
  <si>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</si>
  <si>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</si>
  <si>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</si>
  <si>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</si>
  <si>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</si>
  <si>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</si>
  <si>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</si>
  <si>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</si>
  <si>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</si>
  <si>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</si>
  <si>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</si>
  <si>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</si>
  <si>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</si>
  <si>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</si>
  <si>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</si>
  <si>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</si>
  <si>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</si>
  <si>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</si>
  <si>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</si>
  <si>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</si>
  <si>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</si>
  <si>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</si>
  <si>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</si>
  <si>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</si>
  <si>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</si>
  <si>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</si>
  <si>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</si>
  <si>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</si>
  <si>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</si>
  <si>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</si>
  <si>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</si>
  <si>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</si>
  <si>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</si>
  <si>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</si>
  <si>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</si>
  <si>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</si>
  <si>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</si>
  <si>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</si>
  <si>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</si>
  <si>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</si>
  <si>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</si>
  <si>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</si>
  <si>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</si>
  <si>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</si>
  <si>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7/2008</t>
  </si>
  <si>
    <t>8/15/2013</t>
  </si>
  <si>
    <t>3190 Other State Revenue - State's Distribution of $3.5M Alloc HB2, Chapter 224 Tchr Retirement</t>
  </si>
  <si>
    <t>4590 Other Fed Aid Thru State - EdJobs Funding</t>
  </si>
  <si>
    <t>JACKSON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</si>
</sst>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913</v>
      </c>
      <c r="B2" s="21">
        <v>271</v>
      </c>
      <c r="C2" s="21">
        <v>271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299181.48+150</f>
        <v>299331.48</v>
      </c>
      <c r="G9" s="18"/>
      <c r="H9" s="18"/>
      <c r="I9" s="18">
        <v>13603.82</v>
      </c>
      <c r="J9" s="67">
        <f>SUM(I438)</f>
        <v>276605.33999999997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611.19000000000005</v>
      </c>
      <c r="G12" s="18">
        <v>0</v>
      </c>
      <c r="H12" s="18">
        <v>908.49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611.19000000000005</v>
      </c>
      <c r="H13" s="18">
        <v>900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658.87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300601.53999999998</v>
      </c>
      <c r="G19" s="41">
        <f>SUM(G9:G18)</f>
        <v>611.19000000000005</v>
      </c>
      <c r="H19" s="41">
        <f>SUM(H9:H18)</f>
        <v>1808.49</v>
      </c>
      <c r="I19" s="41">
        <f>SUM(I9:I18)</f>
        <v>13603.82</v>
      </c>
      <c r="J19" s="41">
        <f>SUM(J9:J18)</f>
        <v>276605.33999999997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908.49</v>
      </c>
      <c r="G22" s="18">
        <v>611.19000000000005</v>
      </c>
      <c r="H22" s="18">
        <v>0</v>
      </c>
      <c r="I22" s="18">
        <v>0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25261.9</v>
      </c>
      <c r="G24" s="18">
        <v>0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1250.04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22125.93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49546.36</v>
      </c>
      <c r="G32" s="41">
        <f>SUM(G22:G31)</f>
        <v>611.19000000000005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>
        <v>0</v>
      </c>
      <c r="H47" s="18">
        <v>1808.49</v>
      </c>
      <c r="I47" s="18">
        <v>13603.82</v>
      </c>
      <c r="J47" s="13">
        <f>SUM(I458)</f>
        <v>276605.33999999997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251055.18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251055.18</v>
      </c>
      <c r="G50" s="41">
        <f>SUM(G35:G49)</f>
        <v>0</v>
      </c>
      <c r="H50" s="41">
        <f>SUM(H35:H49)</f>
        <v>1808.49</v>
      </c>
      <c r="I50" s="41">
        <f>SUM(I35:I49)</f>
        <v>13603.82</v>
      </c>
      <c r="J50" s="41">
        <f>SUM(J35:J49)</f>
        <v>276605.33999999997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300601.53999999998</v>
      </c>
      <c r="G51" s="41">
        <f>G50+G32</f>
        <v>611.19000000000005</v>
      </c>
      <c r="H51" s="41">
        <f>H50+H32</f>
        <v>1808.49</v>
      </c>
      <c r="I51" s="41">
        <f>I50+I32</f>
        <v>13603.82</v>
      </c>
      <c r="J51" s="41">
        <f>J50+J32</f>
        <v>276605.33999999997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1341640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1341640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3373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3373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2520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2520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456.49</v>
      </c>
      <c r="G95" s="18">
        <v>0</v>
      </c>
      <c r="H95" s="18"/>
      <c r="I95" s="18">
        <v>22.65</v>
      </c>
      <c r="J95" s="18">
        <v>198.62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8490.6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850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16270.8</v>
      </c>
      <c r="G109" s="18"/>
      <c r="H109" s="18">
        <v>3.7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17577.29</v>
      </c>
      <c r="G110" s="41">
        <f>SUM(G95:G109)</f>
        <v>8490.6</v>
      </c>
      <c r="H110" s="41">
        <f>SUM(H95:H109)</f>
        <v>3.7</v>
      </c>
      <c r="I110" s="41">
        <f>SUM(I95:I109)</f>
        <v>22.65</v>
      </c>
      <c r="J110" s="41">
        <f>SUM(J95:J109)</f>
        <v>198.62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1365110.29</v>
      </c>
      <c r="G111" s="41">
        <f>G59+G110</f>
        <v>8490.6</v>
      </c>
      <c r="H111" s="41">
        <f>H59+H78+H93+H110</f>
        <v>3.7</v>
      </c>
      <c r="I111" s="41">
        <f>I59+I110</f>
        <v>22.65</v>
      </c>
      <c r="J111" s="41">
        <f>J59+J110</f>
        <v>198.62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78059.37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890541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67.63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561.94000000000005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969229.94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55766.18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3768.7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183.32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59534.879999999997</v>
      </c>
      <c r="G135" s="41">
        <f>SUM(G122:G134)</f>
        <v>183.32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1028764.82</v>
      </c>
      <c r="G139" s="41">
        <f>G120+SUM(G135:G136)</f>
        <v>183.32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24563.71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3275.72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8800.01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1789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19593.810000000001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21382.81</v>
      </c>
      <c r="G161" s="41">
        <f>SUM(G149:G160)</f>
        <v>3275.72</v>
      </c>
      <c r="H161" s="41">
        <f>SUM(H149:H160)</f>
        <v>33363.72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22677.09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44059.9</v>
      </c>
      <c r="G168" s="41">
        <f>G146+G161+SUM(G162:G167)</f>
        <v>3275.72</v>
      </c>
      <c r="H168" s="41">
        <f>H146+H161+SUM(H162:H167)</f>
        <v>33363.72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7079.66</v>
      </c>
      <c r="H178" s="18"/>
      <c r="I178" s="18"/>
      <c r="J178" s="18">
        <v>28000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7079.66</v>
      </c>
      <c r="H182" s="41">
        <f>SUM(H178:H181)</f>
        <v>0</v>
      </c>
      <c r="I182" s="41">
        <f>SUM(I178:I181)</f>
        <v>0</v>
      </c>
      <c r="J182" s="41">
        <f>SUM(J178:J181)</f>
        <v>28000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7079.66</v>
      </c>
      <c r="H191" s="41">
        <f>+H182+SUM(H187:H190)</f>
        <v>0</v>
      </c>
      <c r="I191" s="41">
        <f>I176+I182+SUM(I187:I190)</f>
        <v>0</v>
      </c>
      <c r="J191" s="41">
        <f>J182</f>
        <v>28000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2437935.0099999998</v>
      </c>
      <c r="G192" s="47">
        <f>G111+G139+G168+G191</f>
        <v>19029.3</v>
      </c>
      <c r="H192" s="47">
        <f>H111+H139+H168+H191</f>
        <v>33367.42</v>
      </c>
      <c r="I192" s="47">
        <f>I111+I139+I168+I191</f>
        <v>22.65</v>
      </c>
      <c r="J192" s="47">
        <f>J111+J139+J191</f>
        <v>28198.62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292869.98</v>
      </c>
      <c r="G196" s="18">
        <v>134721.75</v>
      </c>
      <c r="H196" s="18">
        <v>8718.34</v>
      </c>
      <c r="I196" s="18">
        <v>11348.97</v>
      </c>
      <c r="J196" s="18">
        <v>6350.85</v>
      </c>
      <c r="K196" s="18"/>
      <c r="L196" s="19">
        <f>SUM(F196:K196)</f>
        <v>454009.88999999996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53073.47</v>
      </c>
      <c r="G197" s="18">
        <v>39814.620000000003</v>
      </c>
      <c r="H197" s="18">
        <v>13452.96</v>
      </c>
      <c r="I197" s="18">
        <v>179.95</v>
      </c>
      <c r="J197" s="18"/>
      <c r="K197" s="18"/>
      <c r="L197" s="19">
        <f>SUM(F197:K197)</f>
        <v>106520.99999999999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6153.25</v>
      </c>
      <c r="G199" s="18">
        <v>479.42</v>
      </c>
      <c r="H199" s="18">
        <v>3374.48</v>
      </c>
      <c r="I199" s="18">
        <v>673.72</v>
      </c>
      <c r="J199" s="18"/>
      <c r="K199" s="18"/>
      <c r="L199" s="19">
        <f>SUM(F199:K199)</f>
        <v>10680.869999999999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14938.25</v>
      </c>
      <c r="G201" s="18">
        <v>6625.63</v>
      </c>
      <c r="H201" s="18">
        <v>33066.07</v>
      </c>
      <c r="I201" s="18">
        <v>394.72</v>
      </c>
      <c r="J201" s="18"/>
      <c r="K201" s="18"/>
      <c r="L201" s="19">
        <f t="shared" ref="L201:L207" si="0">SUM(F201:K201)</f>
        <v>55024.67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21395.02</v>
      </c>
      <c r="G202" s="18">
        <v>10602</v>
      </c>
      <c r="H202" s="18">
        <v>11848.91</v>
      </c>
      <c r="I202" s="18">
        <v>657.94</v>
      </c>
      <c r="J202" s="18"/>
      <c r="K202" s="18"/>
      <c r="L202" s="19">
        <f t="shared" si="0"/>
        <v>44503.87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7711.2</v>
      </c>
      <c r="G203" s="18">
        <v>561.82000000000005</v>
      </c>
      <c r="H203" s="18">
        <v>59743.08</v>
      </c>
      <c r="I203" s="18"/>
      <c r="J203" s="18"/>
      <c r="K203" s="18">
        <v>1255.26</v>
      </c>
      <c r="L203" s="19">
        <f t="shared" si="0"/>
        <v>69271.360000000001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86400.58</v>
      </c>
      <c r="G204" s="18">
        <v>44111.1</v>
      </c>
      <c r="H204" s="18">
        <v>2064.42</v>
      </c>
      <c r="I204" s="18">
        <v>3274.42</v>
      </c>
      <c r="J204" s="18"/>
      <c r="K204" s="18">
        <v>594</v>
      </c>
      <c r="L204" s="19">
        <f t="shared" si="0"/>
        <v>136444.52000000002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60567.32</v>
      </c>
      <c r="G206" s="18">
        <v>42068.63</v>
      </c>
      <c r="H206" s="18">
        <v>46264.52</v>
      </c>
      <c r="I206" s="18">
        <v>36548.22</v>
      </c>
      <c r="J206" s="18">
        <v>6647.16</v>
      </c>
      <c r="K206" s="18"/>
      <c r="L206" s="19">
        <f t="shared" si="0"/>
        <v>192095.85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28574.68</v>
      </c>
      <c r="G207" s="18">
        <v>22483.31</v>
      </c>
      <c r="H207" s="18">
        <v>5588.62</v>
      </c>
      <c r="I207" s="18">
        <v>14463.2</v>
      </c>
      <c r="J207" s="18">
        <v>337</v>
      </c>
      <c r="K207" s="18"/>
      <c r="L207" s="19">
        <f t="shared" si="0"/>
        <v>71446.810000000012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25.5</v>
      </c>
      <c r="I208" s="18"/>
      <c r="J208" s="18"/>
      <c r="K208" s="18"/>
      <c r="L208" s="19">
        <f>SUM(F208:K208)</f>
        <v>25.5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571683.75</v>
      </c>
      <c r="G210" s="41">
        <f t="shared" si="1"/>
        <v>301468.28000000003</v>
      </c>
      <c r="H210" s="41">
        <f t="shared" si="1"/>
        <v>184146.9</v>
      </c>
      <c r="I210" s="41">
        <f t="shared" si="1"/>
        <v>67541.14</v>
      </c>
      <c r="J210" s="41">
        <f t="shared" si="1"/>
        <v>13335.01</v>
      </c>
      <c r="K210" s="41">
        <f t="shared" si="1"/>
        <v>1849.26</v>
      </c>
      <c r="L210" s="41">
        <f t="shared" si="1"/>
        <v>1140024.3400000001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262396.14</v>
      </c>
      <c r="I214" s="18"/>
      <c r="J214" s="18"/>
      <c r="K214" s="18"/>
      <c r="L214" s="19">
        <f>SUM(F214:K214)</f>
        <v>262396.14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2595.6</v>
      </c>
      <c r="G221" s="18">
        <v>189.1</v>
      </c>
      <c r="H221" s="18">
        <v>20109.59</v>
      </c>
      <c r="I221" s="18"/>
      <c r="J221" s="18"/>
      <c r="K221" s="18">
        <v>422.52</v>
      </c>
      <c r="L221" s="19">
        <f t="shared" si="2"/>
        <v>23316.81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10725.75</v>
      </c>
      <c r="G225" s="18">
        <v>8882.81</v>
      </c>
      <c r="H225" s="18">
        <v>2235.4499999999998</v>
      </c>
      <c r="I225" s="18">
        <v>5785.28</v>
      </c>
      <c r="J225" s="18">
        <v>134.80000000000001</v>
      </c>
      <c r="K225" s="18"/>
      <c r="L225" s="19">
        <f t="shared" si="2"/>
        <v>27764.089999999997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v>10.199999999999999</v>
      </c>
      <c r="I226" s="18"/>
      <c r="J226" s="18"/>
      <c r="K226" s="18"/>
      <c r="L226" s="19">
        <f>SUM(F226:K226)</f>
        <v>10.199999999999999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13321.35</v>
      </c>
      <c r="G228" s="41">
        <f>SUM(G214:G227)</f>
        <v>9071.91</v>
      </c>
      <c r="H228" s="41">
        <f>SUM(H214:H227)</f>
        <v>284751.38000000006</v>
      </c>
      <c r="I228" s="41">
        <f>SUM(I214:I227)</f>
        <v>5785.28</v>
      </c>
      <c r="J228" s="41">
        <f>SUM(J214:J227)</f>
        <v>134.80000000000001</v>
      </c>
      <c r="K228" s="41">
        <f t="shared" si="3"/>
        <v>422.52</v>
      </c>
      <c r="L228" s="41">
        <f t="shared" si="3"/>
        <v>313487.24000000005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613609</v>
      </c>
      <c r="I232" s="18"/>
      <c r="J232" s="18"/>
      <c r="K232" s="18"/>
      <c r="L232" s="19">
        <f>SUM(F232:K232)</f>
        <v>613609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35610.6</v>
      </c>
      <c r="I233" s="18"/>
      <c r="J233" s="18"/>
      <c r="K233" s="18"/>
      <c r="L233" s="19">
        <f>SUM(F233:K233)</f>
        <v>35610.6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2293.1999999999998</v>
      </c>
      <c r="G239" s="18">
        <v>167.08</v>
      </c>
      <c r="H239" s="18">
        <v>17766.740000000002</v>
      </c>
      <c r="I239" s="18"/>
      <c r="J239" s="18"/>
      <c r="K239" s="18">
        <v>373.31</v>
      </c>
      <c r="L239" s="19">
        <f t="shared" si="4"/>
        <v>20600.330000000002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16088.63</v>
      </c>
      <c r="G243" s="18">
        <v>13324.21</v>
      </c>
      <c r="H243" s="18">
        <v>3353.18</v>
      </c>
      <c r="I243" s="18">
        <v>8677.92</v>
      </c>
      <c r="J243" s="18">
        <v>202.2</v>
      </c>
      <c r="K243" s="18"/>
      <c r="L243" s="19">
        <f t="shared" si="4"/>
        <v>41646.139999999992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15.3</v>
      </c>
      <c r="I244" s="18"/>
      <c r="J244" s="18"/>
      <c r="K244" s="18"/>
      <c r="L244" s="19">
        <f>SUM(F244:K244)</f>
        <v>15.3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18381.829999999998</v>
      </c>
      <c r="G246" s="41">
        <f t="shared" si="5"/>
        <v>13491.289999999999</v>
      </c>
      <c r="H246" s="41">
        <f t="shared" si="5"/>
        <v>670354.82000000007</v>
      </c>
      <c r="I246" s="41">
        <f t="shared" si="5"/>
        <v>8677.92</v>
      </c>
      <c r="J246" s="41">
        <f t="shared" si="5"/>
        <v>202.2</v>
      </c>
      <c r="K246" s="41">
        <f t="shared" si="5"/>
        <v>373.31</v>
      </c>
      <c r="L246" s="41">
        <f t="shared" si="5"/>
        <v>711481.37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603386.92999999993</v>
      </c>
      <c r="G256" s="41">
        <f t="shared" si="8"/>
        <v>324031.48</v>
      </c>
      <c r="H256" s="41">
        <f t="shared" si="8"/>
        <v>1139253.1000000001</v>
      </c>
      <c r="I256" s="41">
        <f t="shared" si="8"/>
        <v>82004.34</v>
      </c>
      <c r="J256" s="41">
        <f t="shared" si="8"/>
        <v>13672.01</v>
      </c>
      <c r="K256" s="41">
        <f t="shared" si="8"/>
        <v>2645.0899999999997</v>
      </c>
      <c r="L256" s="41">
        <f t="shared" si="8"/>
        <v>2164992.9500000002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125000</v>
      </c>
      <c r="L259" s="19">
        <f>SUM(F259:K259)</f>
        <v>125000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15937.5</v>
      </c>
      <c r="L260" s="19">
        <f>SUM(F260:K260)</f>
        <v>15937.5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7079.66</v>
      </c>
      <c r="L262" s="19">
        <f>SUM(F262:K262)</f>
        <v>7079.66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15000+13000</f>
        <v>28000</v>
      </c>
      <c r="L265" s="19">
        <f t="shared" si="9"/>
        <v>28000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176017.16</v>
      </c>
      <c r="L269" s="41">
        <f t="shared" si="9"/>
        <v>176017.16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603386.92999999993</v>
      </c>
      <c r="G270" s="42">
        <f t="shared" si="11"/>
        <v>324031.48</v>
      </c>
      <c r="H270" s="42">
        <f t="shared" si="11"/>
        <v>1139253.1000000001</v>
      </c>
      <c r="I270" s="42">
        <f t="shared" si="11"/>
        <v>82004.34</v>
      </c>
      <c r="J270" s="42">
        <f t="shared" si="11"/>
        <v>13672.01</v>
      </c>
      <c r="K270" s="42">
        <f t="shared" si="11"/>
        <v>178662.25</v>
      </c>
      <c r="L270" s="42">
        <f t="shared" si="11"/>
        <v>2341010.1100000003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7936.99</v>
      </c>
      <c r="J275" s="18">
        <v>6195.82</v>
      </c>
      <c r="K275" s="18"/>
      <c r="L275" s="19">
        <f>SUM(F275:K275)</f>
        <v>14132.81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>
        <v>3233.4</v>
      </c>
      <c r="J276" s="18">
        <v>5566.61</v>
      </c>
      <c r="K276" s="18"/>
      <c r="L276" s="19">
        <f>SUM(F276:K276)</f>
        <v>8800.01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9098</v>
      </c>
      <c r="I280" s="18">
        <v>220.34</v>
      </c>
      <c r="J280" s="18">
        <v>1128.56</v>
      </c>
      <c r="K280" s="18"/>
      <c r="L280" s="19">
        <f t="shared" ref="L280:L286" si="12">SUM(F280:K280)</f>
        <v>10446.9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9098</v>
      </c>
      <c r="I289" s="42">
        <f t="shared" si="13"/>
        <v>11390.73</v>
      </c>
      <c r="J289" s="42">
        <f t="shared" si="13"/>
        <v>12890.99</v>
      </c>
      <c r="K289" s="42">
        <f t="shared" si="13"/>
        <v>0</v>
      </c>
      <c r="L289" s="41">
        <f t="shared" si="13"/>
        <v>33379.72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9098</v>
      </c>
      <c r="I337" s="41">
        <f t="shared" si="20"/>
        <v>11390.73</v>
      </c>
      <c r="J337" s="41">
        <f t="shared" si="20"/>
        <v>12890.99</v>
      </c>
      <c r="K337" s="41">
        <f t="shared" si="20"/>
        <v>0</v>
      </c>
      <c r="L337" s="41">
        <f t="shared" si="20"/>
        <v>33379.72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9098</v>
      </c>
      <c r="I351" s="41">
        <f>I337</f>
        <v>11390.73</v>
      </c>
      <c r="J351" s="41">
        <f>J337</f>
        <v>12890.99</v>
      </c>
      <c r="K351" s="47">
        <f>K337+K350</f>
        <v>0</v>
      </c>
      <c r="L351" s="41">
        <f>L337+L350</f>
        <v>33379.72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6203.38</v>
      </c>
      <c r="G357" s="18">
        <v>790.66</v>
      </c>
      <c r="H357" s="18">
        <v>1743.51</v>
      </c>
      <c r="I357" s="18">
        <v>10291.75</v>
      </c>
      <c r="J357" s="18"/>
      <c r="K357" s="18"/>
      <c r="L357" s="13">
        <f>SUM(F357:K357)</f>
        <v>19029.3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6203.38</v>
      </c>
      <c r="G361" s="47">
        <f t="shared" si="22"/>
        <v>790.66</v>
      </c>
      <c r="H361" s="47">
        <f t="shared" si="22"/>
        <v>1743.51</v>
      </c>
      <c r="I361" s="47">
        <f t="shared" si="22"/>
        <v>10291.75</v>
      </c>
      <c r="J361" s="47">
        <f t="shared" si="22"/>
        <v>0</v>
      </c>
      <c r="K361" s="47">
        <f t="shared" si="22"/>
        <v>0</v>
      </c>
      <c r="L361" s="47">
        <f t="shared" si="22"/>
        <v>19029.3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9996.4599999999991</v>
      </c>
      <c r="G366" s="18"/>
      <c r="H366" s="18"/>
      <c r="I366" s="56">
        <f>SUM(F366:H366)</f>
        <v>9996.4599999999991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295.29000000000002</v>
      </c>
      <c r="G367" s="63"/>
      <c r="H367" s="63"/>
      <c r="I367" s="56">
        <f>SUM(F367:H367)</f>
        <v>295.29000000000002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10291.75</v>
      </c>
      <c r="G368" s="47">
        <f>SUM(G366:G367)</f>
        <v>0</v>
      </c>
      <c r="H368" s="47">
        <f>SUM(H366:H367)</f>
        <v>0</v>
      </c>
      <c r="I368" s="47">
        <f>SUM(I366:I367)</f>
        <v>10291.75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>
        <v>8950</v>
      </c>
      <c r="I377" s="18"/>
      <c r="J377" s="18"/>
      <c r="K377" s="18"/>
      <c r="L377" s="13">
        <f t="shared" si="23"/>
        <v>8950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>
        <v>1526.6</v>
      </c>
      <c r="I379" s="18"/>
      <c r="J379" s="18"/>
      <c r="K379" s="18"/>
      <c r="L379" s="13">
        <f t="shared" si="23"/>
        <v>1526.6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10476.6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10476.6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15000</v>
      </c>
      <c r="H389" s="18">
        <v>65.69</v>
      </c>
      <c r="I389" s="18"/>
      <c r="J389" s="24" t="s">
        <v>289</v>
      </c>
      <c r="K389" s="24" t="s">
        <v>289</v>
      </c>
      <c r="L389" s="56">
        <f t="shared" si="25"/>
        <v>15065.69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65.69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15065.69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26.01</v>
      </c>
      <c r="I395" s="18"/>
      <c r="J395" s="24" t="s">
        <v>289</v>
      </c>
      <c r="K395" s="24" t="s">
        <v>289</v>
      </c>
      <c r="L395" s="56">
        <f t="shared" si="26"/>
        <v>10026.01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74.86</v>
      </c>
      <c r="I396" s="18"/>
      <c r="J396" s="24" t="s">
        <v>289</v>
      </c>
      <c r="K396" s="24" t="s">
        <v>289</v>
      </c>
      <c r="L396" s="56">
        <f t="shared" si="26"/>
        <v>74.86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24.13</v>
      </c>
      <c r="I397" s="18"/>
      <c r="J397" s="24" t="s">
        <v>289</v>
      </c>
      <c r="K397" s="24" t="s">
        <v>289</v>
      </c>
      <c r="L397" s="56">
        <f t="shared" si="26"/>
        <v>24.13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2.85</v>
      </c>
      <c r="I398" s="18"/>
      <c r="J398" s="24" t="s">
        <v>289</v>
      </c>
      <c r="K398" s="24" t="s">
        <v>289</v>
      </c>
      <c r="L398" s="56">
        <f t="shared" si="26"/>
        <v>2.85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3000</v>
      </c>
      <c r="H399" s="18">
        <v>5.08</v>
      </c>
      <c r="I399" s="18"/>
      <c r="J399" s="24" t="s">
        <v>289</v>
      </c>
      <c r="K399" s="24" t="s">
        <v>289</v>
      </c>
      <c r="L399" s="56">
        <f t="shared" si="26"/>
        <v>3005.08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13000</v>
      </c>
      <c r="H400" s="47">
        <f>SUM(H394:H399)</f>
        <v>132.93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13132.93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28000</v>
      </c>
      <c r="H407" s="47">
        <f>H392+H400+H406</f>
        <v>198.62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28198.620000000003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93522.82</v>
      </c>
      <c r="G438" s="18">
        <v>183082.52</v>
      </c>
      <c r="H438" s="18"/>
      <c r="I438" s="56">
        <f t="shared" ref="I438:I444" si="33">SUM(F438:H438)</f>
        <v>276605.33999999997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93522.82</v>
      </c>
      <c r="G445" s="13">
        <f>SUM(G438:G444)</f>
        <v>183082.52</v>
      </c>
      <c r="H445" s="13">
        <f>SUM(H438:H444)</f>
        <v>0</v>
      </c>
      <c r="I445" s="13">
        <f>SUM(I438:I444)</f>
        <v>276605.33999999997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93522.82</v>
      </c>
      <c r="G458" s="18">
        <v>183082.52</v>
      </c>
      <c r="H458" s="18"/>
      <c r="I458" s="56">
        <f t="shared" si="34"/>
        <v>276605.33999999997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93522.82</v>
      </c>
      <c r="G459" s="83">
        <f>SUM(G453:G458)</f>
        <v>183082.52</v>
      </c>
      <c r="H459" s="83">
        <f>SUM(H453:H458)</f>
        <v>0</v>
      </c>
      <c r="I459" s="83">
        <f>SUM(I453:I458)</f>
        <v>276605.33999999997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93522.82</v>
      </c>
      <c r="G460" s="42">
        <f>G451+G459</f>
        <v>183082.52</v>
      </c>
      <c r="H460" s="42">
        <f>H451+H459</f>
        <v>0</v>
      </c>
      <c r="I460" s="42">
        <f>I451+I459</f>
        <v>276605.33999999997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154130.28</v>
      </c>
      <c r="G464" s="18">
        <v>0</v>
      </c>
      <c r="H464" s="18">
        <v>1820.79</v>
      </c>
      <c r="I464" s="18">
        <v>24057.77</v>
      </c>
      <c r="J464" s="18">
        <v>248406.72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2437935.0099999998</v>
      </c>
      <c r="G467" s="18">
        <v>19029.3</v>
      </c>
      <c r="H467" s="18">
        <v>33367.42</v>
      </c>
      <c r="I467" s="18">
        <v>22.65</v>
      </c>
      <c r="J467" s="18">
        <v>28198.62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2437935.0099999998</v>
      </c>
      <c r="G469" s="53">
        <f>SUM(G467:G468)</f>
        <v>19029.3</v>
      </c>
      <c r="H469" s="53">
        <f>SUM(H467:H468)</f>
        <v>33367.42</v>
      </c>
      <c r="I469" s="53">
        <f>SUM(I467:I468)</f>
        <v>22.65</v>
      </c>
      <c r="J469" s="53">
        <f>SUM(J467:J468)</f>
        <v>28198.62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2341010.11</v>
      </c>
      <c r="G471" s="18">
        <v>19029.3</v>
      </c>
      <c r="H471" s="18">
        <v>33379.72</v>
      </c>
      <c r="I471" s="18">
        <v>10476.6</v>
      </c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2341010.11</v>
      </c>
      <c r="G473" s="53">
        <f>SUM(G471:G472)</f>
        <v>19029.3</v>
      </c>
      <c r="H473" s="53">
        <f>SUM(H471:H472)</f>
        <v>33379.72</v>
      </c>
      <c r="I473" s="53">
        <f>SUM(I471:I472)</f>
        <v>10476.6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251055.1799999997</v>
      </c>
      <c r="G475" s="53">
        <f>(G464+G469)- G473</f>
        <v>0</v>
      </c>
      <c r="H475" s="53">
        <f>(H464+H469)- H473</f>
        <v>1808.489999999998</v>
      </c>
      <c r="I475" s="53">
        <f>(I464+I469)- I473</f>
        <v>13603.820000000002</v>
      </c>
      <c r="J475" s="53">
        <f>(J464+J469)- J473</f>
        <v>276605.34000000003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650000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3.34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375000</v>
      </c>
      <c r="G494" s="18"/>
      <c r="H494" s="18"/>
      <c r="I494" s="18"/>
      <c r="J494" s="18"/>
      <c r="K494" s="53">
        <f>SUM(F494:J494)</f>
        <v>375000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125000</v>
      </c>
      <c r="G496" s="18"/>
      <c r="H496" s="18"/>
      <c r="I496" s="18"/>
      <c r="J496" s="18"/>
      <c r="K496" s="53">
        <f t="shared" si="35"/>
        <v>125000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250000</v>
      </c>
      <c r="G497" s="205"/>
      <c r="H497" s="205"/>
      <c r="I497" s="205"/>
      <c r="J497" s="205"/>
      <c r="K497" s="206">
        <f t="shared" si="35"/>
        <v>250000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12968.75</v>
      </c>
      <c r="G498" s="18"/>
      <c r="H498" s="18"/>
      <c r="I498" s="18"/>
      <c r="J498" s="18"/>
      <c r="K498" s="53">
        <f t="shared" si="35"/>
        <v>12968.75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262968.75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262968.75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125000</v>
      </c>
      <c r="G500" s="205"/>
      <c r="H500" s="205"/>
      <c r="I500" s="205"/>
      <c r="J500" s="205"/>
      <c r="K500" s="206">
        <f t="shared" si="35"/>
        <v>125000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9687.5</v>
      </c>
      <c r="G501" s="18"/>
      <c r="H501" s="18"/>
      <c r="I501" s="18"/>
      <c r="J501" s="18"/>
      <c r="K501" s="53">
        <f t="shared" si="35"/>
        <v>9687.5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134687.5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134687.5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53073.47</v>
      </c>
      <c r="G520" s="18">
        <v>39814.620000000003</v>
      </c>
      <c r="H520" s="18">
        <v>13452.96</v>
      </c>
      <c r="I520" s="18">
        <v>3413.35</v>
      </c>
      <c r="J520" s="18">
        <v>5566.61</v>
      </c>
      <c r="K520" s="18"/>
      <c r="L520" s="88">
        <f>SUM(F520:K520)</f>
        <v>115321.01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0</v>
      </c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35610.6</v>
      </c>
      <c r="I522" s="18"/>
      <c r="J522" s="18"/>
      <c r="K522" s="18"/>
      <c r="L522" s="88">
        <f>SUM(F522:K522)</f>
        <v>35610.6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53073.47</v>
      </c>
      <c r="G523" s="108">
        <f t="shared" ref="G523:L523" si="36">SUM(G520:G522)</f>
        <v>39814.620000000003</v>
      </c>
      <c r="H523" s="108">
        <f t="shared" si="36"/>
        <v>49063.56</v>
      </c>
      <c r="I523" s="108">
        <f t="shared" si="36"/>
        <v>3413.35</v>
      </c>
      <c r="J523" s="108">
        <f t="shared" si="36"/>
        <v>5566.61</v>
      </c>
      <c r="K523" s="108">
        <f t="shared" si="36"/>
        <v>0</v>
      </c>
      <c r="L523" s="89">
        <f t="shared" si="36"/>
        <v>150931.60999999999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31566.07</v>
      </c>
      <c r="I525" s="18">
        <v>183.04</v>
      </c>
      <c r="J525" s="18"/>
      <c r="K525" s="18"/>
      <c r="L525" s="88">
        <f>SUM(F525:K525)</f>
        <v>31749.11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31566.07</v>
      </c>
      <c r="I528" s="89">
        <f t="shared" si="37"/>
        <v>183.04</v>
      </c>
      <c r="J528" s="89">
        <f t="shared" si="37"/>
        <v>0</v>
      </c>
      <c r="K528" s="89">
        <f t="shared" si="37"/>
        <v>0</v>
      </c>
      <c r="L528" s="89">
        <f t="shared" si="37"/>
        <v>31749.11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9592.89</v>
      </c>
      <c r="I530" s="18"/>
      <c r="J530" s="18"/>
      <c r="K530" s="18"/>
      <c r="L530" s="88">
        <f>SUM(F530:K530)</f>
        <v>9592.89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3228.98</v>
      </c>
      <c r="I531" s="18"/>
      <c r="J531" s="18"/>
      <c r="K531" s="18"/>
      <c r="L531" s="88">
        <f>SUM(F531:K531)</f>
        <v>3228.98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2852.8</v>
      </c>
      <c r="I532" s="18"/>
      <c r="J532" s="18"/>
      <c r="K532" s="18"/>
      <c r="L532" s="88">
        <f>SUM(F532:K532)</f>
        <v>2852.8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15674.669999999998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15674.669999999998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53073.47</v>
      </c>
      <c r="G544" s="89">
        <f t="shared" ref="G544:L544" si="41">G523+G528+G533+G538+G543</f>
        <v>39814.620000000003</v>
      </c>
      <c r="H544" s="89">
        <f t="shared" si="41"/>
        <v>96304.3</v>
      </c>
      <c r="I544" s="89">
        <f t="shared" si="41"/>
        <v>3596.39</v>
      </c>
      <c r="J544" s="89">
        <f t="shared" si="41"/>
        <v>5566.61</v>
      </c>
      <c r="K544" s="89">
        <f t="shared" si="41"/>
        <v>0</v>
      </c>
      <c r="L544" s="89">
        <f t="shared" si="41"/>
        <v>198355.38999999996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115321.01</v>
      </c>
      <c r="G548" s="87">
        <f>L525</f>
        <v>31749.11</v>
      </c>
      <c r="H548" s="87">
        <f>L530</f>
        <v>9592.89</v>
      </c>
      <c r="I548" s="87">
        <f>L535</f>
        <v>0</v>
      </c>
      <c r="J548" s="87">
        <f>L540</f>
        <v>0</v>
      </c>
      <c r="K548" s="87">
        <f>SUM(F548:J548)</f>
        <v>156663.01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3228.98</v>
      </c>
      <c r="I549" s="87">
        <f>L536</f>
        <v>0</v>
      </c>
      <c r="J549" s="87">
        <f>L541</f>
        <v>0</v>
      </c>
      <c r="K549" s="87">
        <f>SUM(F549:J549)</f>
        <v>3228.98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35610.6</v>
      </c>
      <c r="G550" s="87">
        <f>L527</f>
        <v>0</v>
      </c>
      <c r="H550" s="87">
        <f>L532</f>
        <v>2852.8</v>
      </c>
      <c r="I550" s="87">
        <f>L537</f>
        <v>0</v>
      </c>
      <c r="J550" s="87">
        <f>L542</f>
        <v>0</v>
      </c>
      <c r="K550" s="87">
        <f>SUM(F550:J550)</f>
        <v>38463.4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150931.60999999999</v>
      </c>
      <c r="G551" s="89">
        <f t="shared" si="42"/>
        <v>31749.11</v>
      </c>
      <c r="H551" s="89">
        <f t="shared" si="42"/>
        <v>15674.669999999998</v>
      </c>
      <c r="I551" s="89">
        <f t="shared" si="42"/>
        <v>0</v>
      </c>
      <c r="J551" s="89">
        <f t="shared" si="42"/>
        <v>0</v>
      </c>
      <c r="K551" s="89">
        <f t="shared" si="42"/>
        <v>198355.39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262396.14</v>
      </c>
      <c r="H574" s="18">
        <v>613609</v>
      </c>
      <c r="I574" s="87">
        <f>SUM(F574:H574)</f>
        <v>876005.14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2597.42</v>
      </c>
      <c r="I578" s="87">
        <f t="shared" si="47"/>
        <v>2597.42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7200</v>
      </c>
      <c r="G581" s="18"/>
      <c r="H581" s="18">
        <v>33013.18</v>
      </c>
      <c r="I581" s="87">
        <f t="shared" si="47"/>
        <v>40213.18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69410.259999999995</v>
      </c>
      <c r="I590" s="18">
        <v>27764.09</v>
      </c>
      <c r="J590" s="18">
        <v>41646.14</v>
      </c>
      <c r="K590" s="104">
        <f t="shared" ref="K590:K596" si="48">SUM(H590:J590)</f>
        <v>138820.49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1510.6</v>
      </c>
      <c r="I594" s="18"/>
      <c r="J594" s="18"/>
      <c r="K594" s="104">
        <f t="shared" si="48"/>
        <v>1510.6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525.95000000000005</v>
      </c>
      <c r="I596" s="18"/>
      <c r="J596" s="18"/>
      <c r="K596" s="104">
        <f t="shared" si="48"/>
        <v>525.95000000000005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71446.81</v>
      </c>
      <c r="I597" s="108">
        <f>SUM(I590:I596)</f>
        <v>27764.09</v>
      </c>
      <c r="J597" s="108">
        <f>SUM(J590:J596)</f>
        <v>41646.14</v>
      </c>
      <c r="K597" s="108">
        <f>SUM(K590:K596)</f>
        <v>140857.04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26226</v>
      </c>
      <c r="I603" s="18">
        <v>134.80000000000001</v>
      </c>
      <c r="J603" s="18">
        <v>202.2</v>
      </c>
      <c r="K603" s="104">
        <f>SUM(H603:J603)</f>
        <v>26563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26226</v>
      </c>
      <c r="I604" s="108">
        <f>SUM(I601:I603)</f>
        <v>134.80000000000001</v>
      </c>
      <c r="J604" s="108">
        <f>SUM(J601:J603)</f>
        <v>202.2</v>
      </c>
      <c r="K604" s="108">
        <f>SUM(K601:K603)</f>
        <v>26563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5653.25</v>
      </c>
      <c r="G610" s="18">
        <v>479.42</v>
      </c>
      <c r="H610" s="18"/>
      <c r="I610" s="18">
        <v>446.71</v>
      </c>
      <c r="J610" s="18"/>
      <c r="K610" s="18"/>
      <c r="L610" s="88">
        <f>SUM(F610:K610)</f>
        <v>6579.38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5653.25</v>
      </c>
      <c r="G613" s="108">
        <f t="shared" si="49"/>
        <v>479.42</v>
      </c>
      <c r="H613" s="108">
        <f t="shared" si="49"/>
        <v>0</v>
      </c>
      <c r="I613" s="108">
        <f t="shared" si="49"/>
        <v>446.71</v>
      </c>
      <c r="J613" s="108">
        <f t="shared" si="49"/>
        <v>0</v>
      </c>
      <c r="K613" s="108">
        <f t="shared" si="49"/>
        <v>0</v>
      </c>
      <c r="L613" s="89">
        <f t="shared" si="49"/>
        <v>6579.38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300601.53999999998</v>
      </c>
      <c r="H616" s="109">
        <f>SUM(F51)</f>
        <v>300601.53999999998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611.19000000000005</v>
      </c>
      <c r="H617" s="109">
        <f>SUM(G51)</f>
        <v>611.19000000000005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1808.49</v>
      </c>
      <c r="H618" s="109">
        <f>SUM(H51)</f>
        <v>1808.49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13603.82</v>
      </c>
      <c r="H619" s="109">
        <f>SUM(I51)</f>
        <v>13603.82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276605.33999999997</v>
      </c>
      <c r="H620" s="109">
        <f>SUM(J51)</f>
        <v>276605.33999999997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251055.18</v>
      </c>
      <c r="H621" s="109">
        <f>F475</f>
        <v>251055.1799999997</v>
      </c>
      <c r="I621" s="121" t="s">
        <v>101</v>
      </c>
      <c r="J621" s="109">
        <f t="shared" ref="J621:J654" si="50">G621-H621</f>
        <v>2.9103830456733704E-10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1808.49</v>
      </c>
      <c r="H623" s="109">
        <f>H475</f>
        <v>1808.489999999998</v>
      </c>
      <c r="I623" s="121" t="s">
        <v>103</v>
      </c>
      <c r="J623" s="109">
        <f t="shared" si="50"/>
        <v>2.0463630789890885E-12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13603.82</v>
      </c>
      <c r="H624" s="109">
        <f>I475</f>
        <v>13603.820000000002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276605.33999999997</v>
      </c>
      <c r="H625" s="109">
        <f>J475</f>
        <v>276605.34000000003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2437935.0099999998</v>
      </c>
      <c r="H626" s="104">
        <f>SUM(F467)</f>
        <v>2437935.0099999998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19029.3</v>
      </c>
      <c r="H627" s="104">
        <f>SUM(G467)</f>
        <v>19029.3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33367.42</v>
      </c>
      <c r="H628" s="104">
        <f>SUM(H467)</f>
        <v>33367.42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22.65</v>
      </c>
      <c r="H629" s="104">
        <f>SUM(I467)</f>
        <v>22.65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28198.62</v>
      </c>
      <c r="H630" s="104">
        <f>SUM(J467)</f>
        <v>28198.62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2341010.1100000003</v>
      </c>
      <c r="H631" s="104">
        <f>SUM(F471)</f>
        <v>2341010.11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33379.72</v>
      </c>
      <c r="H632" s="104">
        <f>SUM(H471)</f>
        <v>33379.72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10291.75</v>
      </c>
      <c r="H633" s="104">
        <f>I368</f>
        <v>10291.75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19029.3</v>
      </c>
      <c r="H634" s="104">
        <f>SUM(G471)</f>
        <v>19029.3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10476.6</v>
      </c>
      <c r="H635" s="104">
        <f>SUM(I471)</f>
        <v>10476.6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28198.620000000003</v>
      </c>
      <c r="H636" s="164">
        <f>SUM(J467)</f>
        <v>28198.62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93522.82</v>
      </c>
      <c r="H638" s="104">
        <f>SUM(F460)</f>
        <v>93522.82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183082.52</v>
      </c>
      <c r="H639" s="104">
        <f>SUM(G460)</f>
        <v>183082.52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276605.33999999997</v>
      </c>
      <c r="H641" s="104">
        <f>SUM(I460)</f>
        <v>276605.33999999997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198.62</v>
      </c>
      <c r="H643" s="104">
        <f>H407</f>
        <v>198.62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28000</v>
      </c>
      <c r="H644" s="104">
        <f>G407</f>
        <v>28000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28198.62</v>
      </c>
      <c r="H645" s="104">
        <f>L407</f>
        <v>28198.620000000003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140857.04</v>
      </c>
      <c r="H646" s="104">
        <f>L207+L225+L243</f>
        <v>140857.04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26563</v>
      </c>
      <c r="H647" s="104">
        <f>(J256+J337)-(J254+J335)</f>
        <v>26563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71446.810000000012</v>
      </c>
      <c r="H648" s="104">
        <f>H597</f>
        <v>71446.81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27764.089999999997</v>
      </c>
      <c r="H649" s="104">
        <f>I597</f>
        <v>27764.09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41646.139999999992</v>
      </c>
      <c r="H650" s="104">
        <f>J597</f>
        <v>41646.14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7079.66</v>
      </c>
      <c r="H651" s="104">
        <f>K262+K344</f>
        <v>7079.66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28000</v>
      </c>
      <c r="H654" s="104">
        <f>K265+K346</f>
        <v>28000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1192433.3600000001</v>
      </c>
      <c r="G659" s="19">
        <f>(L228+L308+L358)</f>
        <v>313487.24000000005</v>
      </c>
      <c r="H659" s="19">
        <f>(L246+L327+L359)</f>
        <v>711481.37</v>
      </c>
      <c r="I659" s="19">
        <f>SUM(F659:H659)</f>
        <v>2217401.9700000002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8490.6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8490.6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71109.810000000012</v>
      </c>
      <c r="G661" s="19">
        <f>(L225+L305)-(J225+J305)</f>
        <v>27629.289999999997</v>
      </c>
      <c r="H661" s="19">
        <f>(L243+L324)-(J243+J324)</f>
        <v>41443.939999999995</v>
      </c>
      <c r="I661" s="19">
        <f>SUM(F661:H661)</f>
        <v>140183.04000000001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40005.379999999997</v>
      </c>
      <c r="G662" s="200">
        <f>SUM(G574:G586)+SUM(I601:I603)+L611</f>
        <v>262530.94</v>
      </c>
      <c r="H662" s="200">
        <f>SUM(H574:H586)+SUM(J601:J603)+L612</f>
        <v>649421.80000000005</v>
      </c>
      <c r="I662" s="19">
        <f>SUM(F662:H662)</f>
        <v>951958.12000000011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1072827.57</v>
      </c>
      <c r="G663" s="19">
        <f>G659-SUM(G660:G662)</f>
        <v>23327.010000000068</v>
      </c>
      <c r="H663" s="19">
        <f>H659-SUM(H660:H662)</f>
        <v>20615.630000000005</v>
      </c>
      <c r="I663" s="19">
        <f>I659-SUM(I660:I662)</f>
        <v>1116770.21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48.16</v>
      </c>
      <c r="G664" s="249"/>
      <c r="H664" s="249"/>
      <c r="I664" s="19">
        <f>SUM(F664:H664)</f>
        <v>48.16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22276.32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23188.75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>
        <v>-23327.01</v>
      </c>
      <c r="H668" s="18">
        <v>-20615.63</v>
      </c>
      <c r="I668" s="19">
        <f>SUM(F668:H668)</f>
        <v>-43942.64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22276.32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22276.32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JACKSON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292869.98</v>
      </c>
      <c r="C9" s="230">
        <f>'DOE25'!G196+'DOE25'!G214+'DOE25'!G232+'DOE25'!G275+'DOE25'!G294+'DOE25'!G313</f>
        <v>134721.75</v>
      </c>
    </row>
    <row r="10" spans="1:3">
      <c r="A10" t="s">
        <v>779</v>
      </c>
      <c r="B10" s="241">
        <f>292869.98-10395.84-3536.79</f>
        <v>278937.34999999998</v>
      </c>
      <c r="C10" s="241">
        <v>133410.84</v>
      </c>
    </row>
    <row r="11" spans="1:3">
      <c r="A11" t="s">
        <v>780</v>
      </c>
      <c r="B11" s="241">
        <v>10395.84</v>
      </c>
      <c r="C11" s="241">
        <v>971.07</v>
      </c>
    </row>
    <row r="12" spans="1:3">
      <c r="A12" t="s">
        <v>781</v>
      </c>
      <c r="B12" s="241">
        <v>3536.79</v>
      </c>
      <c r="C12" s="241">
        <v>339.84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292869.98</v>
      </c>
      <c r="C13" s="232">
        <f>SUM(C10:C12)</f>
        <v>134721.75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53073.47</v>
      </c>
      <c r="C18" s="230">
        <f>'DOE25'!G197+'DOE25'!G215+'DOE25'!G233+'DOE25'!G276+'DOE25'!G295+'DOE25'!G314</f>
        <v>39814.620000000003</v>
      </c>
    </row>
    <row r="19" spans="1:3">
      <c r="A19" t="s">
        <v>779</v>
      </c>
      <c r="B19" s="241">
        <v>16527.14</v>
      </c>
      <c r="C19" s="241">
        <v>1531.56</v>
      </c>
    </row>
    <row r="20" spans="1:3">
      <c r="A20" t="s">
        <v>780</v>
      </c>
      <c r="B20" s="241">
        <v>36546.33</v>
      </c>
      <c r="C20" s="241">
        <v>38283.06</v>
      </c>
    </row>
    <row r="21" spans="1:3">
      <c r="A21" t="s">
        <v>781</v>
      </c>
      <c r="B21" s="241">
        <v>0</v>
      </c>
      <c r="C21" s="241">
        <v>0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53073.47</v>
      </c>
      <c r="C22" s="232">
        <f>SUM(C19:C21)</f>
        <v>39814.619999999995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6153.25</v>
      </c>
      <c r="C36" s="236">
        <f>'DOE25'!G199+'DOE25'!G217+'DOE25'!G235+'DOE25'!G278+'DOE25'!G297+'DOE25'!G316</f>
        <v>479.42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>
        <v>6153.25</v>
      </c>
      <c r="C39" s="241">
        <v>479.42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6153.25</v>
      </c>
      <c r="C40" s="232">
        <f>SUM(C37:C39)</f>
        <v>479.42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7" activePane="bottomLeft" state="frozen"/>
      <selection pane="bottomLeft" activeCell="D17" sqref="D17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JACKSON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1482827.5</v>
      </c>
      <c r="D5" s="20">
        <f>SUM('DOE25'!L196:L199)+SUM('DOE25'!L214:L217)+SUM('DOE25'!L232:L235)-F5-G5</f>
        <v>1476476.65</v>
      </c>
      <c r="E5" s="244"/>
      <c r="F5" s="256">
        <f>SUM('DOE25'!J196:J199)+SUM('DOE25'!J214:J217)+SUM('DOE25'!J232:J235)</f>
        <v>6350.85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55024.67</v>
      </c>
      <c r="D6" s="20">
        <f>'DOE25'!L201+'DOE25'!L219+'DOE25'!L237-F6-G6</f>
        <v>55024.67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44503.87</v>
      </c>
      <c r="D7" s="20">
        <f>'DOE25'!L202+'DOE25'!L220+'DOE25'!L238-F7-G7</f>
        <v>44503.87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63024.930000000008</v>
      </c>
      <c r="D8" s="244"/>
      <c r="E8" s="20">
        <f>'DOE25'!L203+'DOE25'!L221+'DOE25'!L239-F8-G8-D9-D11</f>
        <v>60973.840000000004</v>
      </c>
      <c r="F8" s="256">
        <f>'DOE25'!J203+'DOE25'!J221+'DOE25'!J239</f>
        <v>0</v>
      </c>
      <c r="G8" s="53">
        <f>'DOE25'!K203+'DOE25'!K221+'DOE25'!K239</f>
        <v>2051.09</v>
      </c>
      <c r="H8" s="260"/>
    </row>
    <row r="9" spans="1:9">
      <c r="A9" s="32">
        <v>2310</v>
      </c>
      <c r="B9" t="s">
        <v>818</v>
      </c>
      <c r="C9" s="246">
        <f t="shared" si="0"/>
        <v>26088.5</v>
      </c>
      <c r="D9" s="245">
        <v>26088.5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4540</v>
      </c>
      <c r="D10" s="244"/>
      <c r="E10" s="245">
        <v>4540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24075.07</v>
      </c>
      <c r="D11" s="245">
        <v>24075.07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136444.52000000002</v>
      </c>
      <c r="D12" s="20">
        <f>'DOE25'!L204+'DOE25'!L222+'DOE25'!L240-F12-G12</f>
        <v>135850.52000000002</v>
      </c>
      <c r="E12" s="244"/>
      <c r="F12" s="256">
        <f>'DOE25'!J204+'DOE25'!J222+'DOE25'!J240</f>
        <v>0</v>
      </c>
      <c r="G12" s="53">
        <f>'DOE25'!K204+'DOE25'!K222+'DOE25'!K240</f>
        <v>594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192095.85</v>
      </c>
      <c r="D14" s="20">
        <f>'DOE25'!L206+'DOE25'!L224+'DOE25'!L242-F14-G14</f>
        <v>185448.69</v>
      </c>
      <c r="E14" s="244"/>
      <c r="F14" s="256">
        <f>'DOE25'!J206+'DOE25'!J224+'DOE25'!J242</f>
        <v>6647.16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140857.04</v>
      </c>
      <c r="D15" s="20">
        <f>'DOE25'!L207+'DOE25'!L225+'DOE25'!L243-F15-G15</f>
        <v>140183.04000000001</v>
      </c>
      <c r="E15" s="244"/>
      <c r="F15" s="256">
        <f>'DOE25'!J207+'DOE25'!J225+'DOE25'!J243</f>
        <v>674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51</v>
      </c>
      <c r="D16" s="244"/>
      <c r="E16" s="20">
        <f>'DOE25'!L208+'DOE25'!L226+'DOE25'!L244-F16-G16</f>
        <v>51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140937.5</v>
      </c>
      <c r="D25" s="244"/>
      <c r="E25" s="244"/>
      <c r="F25" s="259"/>
      <c r="G25" s="257"/>
      <c r="H25" s="258">
        <f>'DOE25'!L259+'DOE25'!L260+'DOE25'!L340+'DOE25'!L341</f>
        <v>140937.5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9032.84</v>
      </c>
      <c r="D29" s="20">
        <f>'DOE25'!L357+'DOE25'!L358+'DOE25'!L359-'DOE25'!I366-F29-G29</f>
        <v>9032.84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33379.72</v>
      </c>
      <c r="D31" s="20">
        <f>'DOE25'!L289+'DOE25'!L308+'DOE25'!L327+'DOE25'!L332+'DOE25'!L333+'DOE25'!L334-F31-G31</f>
        <v>20488.730000000003</v>
      </c>
      <c r="E31" s="244"/>
      <c r="F31" s="256">
        <f>'DOE25'!J289+'DOE25'!J308+'DOE25'!J327+'DOE25'!J332+'DOE25'!J333+'DOE25'!J334</f>
        <v>12890.99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2117172.58</v>
      </c>
      <c r="E33" s="247">
        <f>SUM(E5:E31)</f>
        <v>65564.84</v>
      </c>
      <c r="F33" s="247">
        <f>SUM(F5:F31)</f>
        <v>26563</v>
      </c>
      <c r="G33" s="247">
        <f>SUM(G5:G31)</f>
        <v>2645.09</v>
      </c>
      <c r="H33" s="247">
        <f>SUM(H5:H31)</f>
        <v>140937.5</v>
      </c>
    </row>
    <row r="35" spans="2:8" ht="12" thickBot="1">
      <c r="B35" s="254" t="s">
        <v>847</v>
      </c>
      <c r="D35" s="255">
        <f>E33</f>
        <v>65564.84</v>
      </c>
      <c r="E35" s="250"/>
    </row>
    <row r="36" spans="2:8" ht="12" thickTop="1">
      <c r="B36" t="s">
        <v>815</v>
      </c>
      <c r="D36" s="20">
        <f>D33</f>
        <v>2117172.58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JACKSON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299331.48</v>
      </c>
      <c r="D8" s="95">
        <f>'DOE25'!G9</f>
        <v>0</v>
      </c>
      <c r="E8" s="95">
        <f>'DOE25'!H9</f>
        <v>0</v>
      </c>
      <c r="F8" s="95">
        <f>'DOE25'!I9</f>
        <v>13603.82</v>
      </c>
      <c r="G8" s="95">
        <f>'DOE25'!J9</f>
        <v>276605.33999999997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611.19000000000005</v>
      </c>
      <c r="D11" s="95">
        <f>'DOE25'!G12</f>
        <v>0</v>
      </c>
      <c r="E11" s="95">
        <f>'DOE25'!H12</f>
        <v>908.49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611.19000000000005</v>
      </c>
      <c r="E12" s="95">
        <f>'DOE25'!H13</f>
        <v>900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658.87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300601.53999999998</v>
      </c>
      <c r="D18" s="41">
        <f>SUM(D8:D17)</f>
        <v>611.19000000000005</v>
      </c>
      <c r="E18" s="41">
        <f>SUM(E8:E17)</f>
        <v>1808.49</v>
      </c>
      <c r="F18" s="41">
        <f>SUM(F8:F17)</f>
        <v>13603.82</v>
      </c>
      <c r="G18" s="41">
        <f>SUM(G8:G17)</f>
        <v>276605.33999999997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908.49</v>
      </c>
      <c r="D21" s="95">
        <f>'DOE25'!G22</f>
        <v>611.19000000000005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25261.9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1250.04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22125.93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49546.36</v>
      </c>
      <c r="D31" s="41">
        <f>SUM(D21:D30)</f>
        <v>611.19000000000005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1808.49</v>
      </c>
      <c r="F46" s="95">
        <f>'DOE25'!I47</f>
        <v>13603.82</v>
      </c>
      <c r="G46" s="95">
        <f>'DOE25'!J47</f>
        <v>276605.33999999997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251055.18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251055.18</v>
      </c>
      <c r="D49" s="41">
        <f>SUM(D34:D48)</f>
        <v>0</v>
      </c>
      <c r="E49" s="41">
        <f>SUM(E34:E48)</f>
        <v>1808.49</v>
      </c>
      <c r="F49" s="41">
        <f>SUM(F34:F48)</f>
        <v>13603.82</v>
      </c>
      <c r="G49" s="41">
        <f>SUM(G34:G48)</f>
        <v>276605.33999999997</v>
      </c>
      <c r="H49" s="124"/>
      <c r="I49" s="124"/>
    </row>
    <row r="50" spans="1:9" ht="12" thickTop="1">
      <c r="A50" s="38" t="s">
        <v>895</v>
      </c>
      <c r="B50" s="2"/>
      <c r="C50" s="41">
        <f>C49+C31</f>
        <v>300601.53999999998</v>
      </c>
      <c r="D50" s="41">
        <f>D49+D31</f>
        <v>611.19000000000005</v>
      </c>
      <c r="E50" s="41">
        <f>E49+E31</f>
        <v>1808.49</v>
      </c>
      <c r="F50" s="41">
        <f>F49+F31</f>
        <v>13603.82</v>
      </c>
      <c r="G50" s="41">
        <f>G49+G31</f>
        <v>276605.33999999997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1341640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3373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2520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456.49</v>
      </c>
      <c r="D58" s="95">
        <f>'DOE25'!G95</f>
        <v>0</v>
      </c>
      <c r="E58" s="95">
        <f>'DOE25'!H95</f>
        <v>0</v>
      </c>
      <c r="F58" s="95">
        <f>'DOE25'!I95</f>
        <v>22.65</v>
      </c>
      <c r="G58" s="95">
        <f>'DOE25'!J95</f>
        <v>198.62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8490.6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17120.8</v>
      </c>
      <c r="D60" s="95">
        <f>SUM('DOE25'!G97:G109)</f>
        <v>0</v>
      </c>
      <c r="E60" s="95">
        <f>SUM('DOE25'!H97:H109)</f>
        <v>3.7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23470.29</v>
      </c>
      <c r="D61" s="130">
        <f>SUM(D56:D60)</f>
        <v>8490.6</v>
      </c>
      <c r="E61" s="130">
        <f>SUM(E56:E60)</f>
        <v>3.7</v>
      </c>
      <c r="F61" s="130">
        <f>SUM(F56:F60)</f>
        <v>22.65</v>
      </c>
      <c r="G61" s="130">
        <f>SUM(G56:G60)</f>
        <v>198.62</v>
      </c>
      <c r="H61"/>
      <c r="I61"/>
    </row>
    <row r="62" spans="1:9" ht="12" thickTop="1">
      <c r="A62" s="29" t="s">
        <v>175</v>
      </c>
      <c r="B62" s="6"/>
      <c r="C62" s="22">
        <f>C55+C61</f>
        <v>1365110.29</v>
      </c>
      <c r="D62" s="22">
        <f>D55+D61</f>
        <v>8490.6</v>
      </c>
      <c r="E62" s="22">
        <f>E55+E61</f>
        <v>3.7</v>
      </c>
      <c r="F62" s="22">
        <f>F55+F61</f>
        <v>22.65</v>
      </c>
      <c r="G62" s="22">
        <f>G55+G61</f>
        <v>198.62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78059.37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890541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67.63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561.94000000000005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969229.94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55766.18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3768.7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183.32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59534.879999999997</v>
      </c>
      <c r="D77" s="130">
        <f>SUM(D71:D76)</f>
        <v>183.32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1028764.82</v>
      </c>
      <c r="D80" s="130">
        <f>SUM(D78:D79)+D77+D69</f>
        <v>183.32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21382.81</v>
      </c>
      <c r="D87" s="95">
        <f>SUM('DOE25'!G152:G160)</f>
        <v>3275.72</v>
      </c>
      <c r="E87" s="95">
        <f>SUM('DOE25'!H152:H160)</f>
        <v>33363.72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22677.09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44059.9</v>
      </c>
      <c r="D90" s="131">
        <f>SUM(D84:D89)</f>
        <v>3275.72</v>
      </c>
      <c r="E90" s="131">
        <f>SUM(E84:E89)</f>
        <v>33363.72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7079.66</v>
      </c>
      <c r="E95" s="95">
        <f>'DOE25'!H178</f>
        <v>0</v>
      </c>
      <c r="F95" s="95">
        <f>'DOE25'!I178</f>
        <v>0</v>
      </c>
      <c r="G95" s="95">
        <f>'DOE25'!J178</f>
        <v>28000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7079.66</v>
      </c>
      <c r="E102" s="86">
        <f>SUM(E92:E101)</f>
        <v>0</v>
      </c>
      <c r="F102" s="86">
        <f>SUM(F92:F101)</f>
        <v>0</v>
      </c>
      <c r="G102" s="86">
        <f>SUM(G92:G101)</f>
        <v>28000</v>
      </c>
    </row>
    <row r="103" spans="1:7" ht="12.75" thickTop="1" thickBot="1">
      <c r="A103" s="33" t="s">
        <v>765</v>
      </c>
      <c r="C103" s="86">
        <f>C62+C80+C90+C102</f>
        <v>2437935.0099999998</v>
      </c>
      <c r="D103" s="86">
        <f>D62+D80+D90+D102</f>
        <v>19029.3</v>
      </c>
      <c r="E103" s="86">
        <f>E62+E80+E90+E102</f>
        <v>33367.42</v>
      </c>
      <c r="F103" s="86">
        <f>F62+F80+F90+F102</f>
        <v>22.65</v>
      </c>
      <c r="G103" s="86">
        <f>G62+G80+G102</f>
        <v>28198.62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1330015.03</v>
      </c>
      <c r="D108" s="24" t="s">
        <v>289</v>
      </c>
      <c r="E108" s="95">
        <f>('DOE25'!L275)+('DOE25'!L294)+('DOE25'!L313)</f>
        <v>14132.81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142131.59999999998</v>
      </c>
      <c r="D109" s="24" t="s">
        <v>289</v>
      </c>
      <c r="E109" s="95">
        <f>('DOE25'!L276)+('DOE25'!L295)+('DOE25'!L314)</f>
        <v>8800.01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10680.869999999999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1482827.5</v>
      </c>
      <c r="D114" s="86">
        <f>SUM(D108:D113)</f>
        <v>0</v>
      </c>
      <c r="E114" s="86">
        <f>SUM(E108:E113)</f>
        <v>22932.82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55024.67</v>
      </c>
      <c r="D117" s="24" t="s">
        <v>289</v>
      </c>
      <c r="E117" s="95">
        <f>+('DOE25'!L280)+('DOE25'!L299)+('DOE25'!L318)</f>
        <v>10446.9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44503.87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113188.5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136444.52000000002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192095.85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140857.04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51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19029.3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682165.45000000007</v>
      </c>
      <c r="D127" s="86">
        <f>SUM(D117:D126)</f>
        <v>19029.3</v>
      </c>
      <c r="E127" s="86">
        <f>SUM(E117:E126)</f>
        <v>10446.9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10476.6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125000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15937.5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7079.66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15065.69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13132.93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-198.62000000000262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176017.16</v>
      </c>
      <c r="D143" s="141">
        <f>SUM(D129:D142)</f>
        <v>0</v>
      </c>
      <c r="E143" s="141">
        <f>SUM(E129:E142)</f>
        <v>0</v>
      </c>
      <c r="F143" s="141">
        <f>SUM(F129:F142)</f>
        <v>10476.6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2341010.1100000003</v>
      </c>
      <c r="D144" s="86">
        <f>(D114+D127+D143)</f>
        <v>19029.3</v>
      </c>
      <c r="E144" s="86">
        <f>(E114+E127+E143)</f>
        <v>33379.72</v>
      </c>
      <c r="F144" s="86">
        <f>(F114+F127+F143)</f>
        <v>10476.6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7/2008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8/15/2013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650000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3.34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375000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375000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125000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125000</v>
      </c>
    </row>
    <row r="158" spans="1:9">
      <c r="A158" s="22" t="s">
        <v>35</v>
      </c>
      <c r="B158" s="137">
        <f>'DOE25'!F497</f>
        <v>250000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250000</v>
      </c>
    </row>
    <row r="159" spans="1:9">
      <c r="A159" s="22" t="s">
        <v>36</v>
      </c>
      <c r="B159" s="137">
        <f>'DOE25'!F498</f>
        <v>12968.75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12968.75</v>
      </c>
    </row>
    <row r="160" spans="1:9">
      <c r="A160" s="22" t="s">
        <v>37</v>
      </c>
      <c r="B160" s="137">
        <f>'DOE25'!F499</f>
        <v>262968.75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262968.75</v>
      </c>
    </row>
    <row r="161" spans="1:7">
      <c r="A161" s="22" t="s">
        <v>38</v>
      </c>
      <c r="B161" s="137">
        <f>'DOE25'!F500</f>
        <v>125000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125000</v>
      </c>
    </row>
    <row r="162" spans="1:7">
      <c r="A162" s="22" t="s">
        <v>39</v>
      </c>
      <c r="B162" s="137">
        <f>'DOE25'!F501</f>
        <v>9687.5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9687.5</v>
      </c>
    </row>
    <row r="163" spans="1:7">
      <c r="A163" s="22" t="s">
        <v>246</v>
      </c>
      <c r="B163" s="137">
        <f>'DOE25'!F502</f>
        <v>134687.5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134687.5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JACKSON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22276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22276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1344148</v>
      </c>
      <c r="D10" s="182">
        <f>ROUND((C10/$C$28)*100,1)</f>
        <v>60.4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150932</v>
      </c>
      <c r="D11" s="182">
        <f>ROUND((C11/$C$28)*100,1)</f>
        <v>6.8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10681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65472</v>
      </c>
      <c r="D15" s="182">
        <f t="shared" ref="D15:D27" si="0">ROUND((C15/$C$28)*100,1)</f>
        <v>2.9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44504</v>
      </c>
      <c r="D16" s="182">
        <f t="shared" si="0"/>
        <v>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113240</v>
      </c>
      <c r="D17" s="182">
        <f t="shared" si="0"/>
        <v>5.0999999999999996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136445</v>
      </c>
      <c r="D18" s="182">
        <f t="shared" si="0"/>
        <v>6.1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192096</v>
      </c>
      <c r="D20" s="182">
        <f t="shared" si="0"/>
        <v>8.6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140857</v>
      </c>
      <c r="D21" s="182">
        <f t="shared" si="0"/>
        <v>6.3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15938</v>
      </c>
      <c r="D25" s="182">
        <f t="shared" si="0"/>
        <v>0.7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10538.4</v>
      </c>
      <c r="D27" s="182">
        <f t="shared" si="0"/>
        <v>0.5</v>
      </c>
    </row>
    <row r="28" spans="1:4">
      <c r="B28" s="187" t="s">
        <v>723</v>
      </c>
      <c r="C28" s="180">
        <f>SUM(C10:C27)</f>
        <v>2224851.4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10477</v>
      </c>
    </row>
    <row r="30" spans="1:4">
      <c r="B30" s="187" t="s">
        <v>729</v>
      </c>
      <c r="C30" s="180">
        <f>SUM(C28:C29)</f>
        <v>2235328.4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125000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1341640</v>
      </c>
      <c r="D35" s="182">
        <f t="shared" ref="D35:D40" si="1">ROUND((C35/$C$41)*100,1)</f>
        <v>54.2</v>
      </c>
    </row>
    <row r="36" spans="1:4">
      <c r="B36" s="185" t="s">
        <v>743</v>
      </c>
      <c r="C36" s="179">
        <f>SUM('DOE25'!F111:J111)-SUM('DOE25'!G96:G109)+('DOE25'!F173+'DOE25'!F174+'DOE25'!I173+'DOE25'!I174)-C35</f>
        <v>23695.260000000009</v>
      </c>
      <c r="D36" s="182">
        <f t="shared" si="1"/>
        <v>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968668</v>
      </c>
      <c r="D37" s="182">
        <f t="shared" si="1"/>
        <v>39.1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60280</v>
      </c>
      <c r="D38" s="182">
        <f t="shared" si="1"/>
        <v>2.4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80699</v>
      </c>
      <c r="D39" s="182">
        <f t="shared" si="1"/>
        <v>3.3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2474982.2599999998</v>
      </c>
      <c r="D41" s="184">
        <f>SUM(D35:D40)</f>
        <v>100.00000000000001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0" sqref="C10:M10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JACKSON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>
        <v>4</v>
      </c>
      <c r="B4" s="220">
        <v>4</v>
      </c>
      <c r="C4" s="280" t="s">
        <v>911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>
        <v>5</v>
      </c>
      <c r="B5" s="220">
        <v>14</v>
      </c>
      <c r="C5" s="280" t="s">
        <v>912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2012-09-24T15:29:50Z</cp:lastPrinted>
  <dcterms:created xsi:type="dcterms:W3CDTF">1997-12-04T19:04:30Z</dcterms:created>
  <dcterms:modified xsi:type="dcterms:W3CDTF">2012-11-21T14:52:43Z</dcterms:modified>
</cp:coreProperties>
</file>