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1" i="12" l="1"/>
  <c r="B21" i="12"/>
  <c r="F520" i="1"/>
  <c r="I525" i="1"/>
  <c r="H525" i="1"/>
  <c r="G525" i="1"/>
  <c r="F525" i="1"/>
  <c r="G520" i="1"/>
  <c r="I527" i="1"/>
  <c r="H527" i="1"/>
  <c r="G527" i="1"/>
  <c r="F527" i="1"/>
  <c r="G522" i="1"/>
  <c r="F522" i="1"/>
  <c r="K527" i="1"/>
  <c r="K526" i="1"/>
  <c r="K525" i="1"/>
  <c r="J527" i="1"/>
  <c r="J526" i="1"/>
  <c r="J525" i="1"/>
  <c r="I526" i="1"/>
  <c r="H526" i="1"/>
  <c r="G526" i="1"/>
  <c r="F526" i="1"/>
  <c r="I522" i="1"/>
  <c r="I521" i="1"/>
  <c r="I520" i="1"/>
  <c r="H522" i="1"/>
  <c r="H521" i="1"/>
  <c r="H520" i="1"/>
  <c r="F530" i="1" l="1"/>
  <c r="F664" i="1"/>
  <c r="H594" i="1"/>
  <c r="J591" i="1"/>
  <c r="I591" i="1"/>
  <c r="H591" i="1"/>
  <c r="H513" i="1"/>
  <c r="I506" i="1"/>
  <c r="H457" i="1" l="1"/>
  <c r="H439" i="1"/>
  <c r="H428" i="1"/>
  <c r="J471" i="1"/>
  <c r="H399" i="1"/>
  <c r="J95" i="1"/>
  <c r="H456" i="1"/>
  <c r="F29" i="1" l="1"/>
  <c r="F17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C18" i="10" s="1"/>
  <c r="F14" i="13"/>
  <c r="G14" i="13"/>
  <c r="L206" i="1"/>
  <c r="L224" i="1"/>
  <c r="L242" i="1"/>
  <c r="C20" i="10" s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D126" i="2" s="1"/>
  <c r="D127" i="2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L249" i="1"/>
  <c r="L331" i="1"/>
  <c r="L253" i="1"/>
  <c r="C24" i="10" s="1"/>
  <c r="C25" i="10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C69" i="2" s="1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9" i="2"/>
  <c r="C110" i="2"/>
  <c r="E110" i="2"/>
  <c r="E111" i="2"/>
  <c r="C112" i="2"/>
  <c r="E112" i="2"/>
  <c r="C113" i="2"/>
  <c r="D114" i="2"/>
  <c r="F114" i="2"/>
  <c r="G114" i="2"/>
  <c r="E117" i="2"/>
  <c r="E119" i="2"/>
  <c r="E120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J433" i="1" s="1"/>
  <c r="L420" i="1"/>
  <c r="L421" i="1"/>
  <c r="L422" i="1"/>
  <c r="L423" i="1"/>
  <c r="L424" i="1"/>
  <c r="L425" i="1"/>
  <c r="F426" i="1"/>
  <c r="F433" i="1" s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G641" i="1" s="1"/>
  <c r="F451" i="1"/>
  <c r="G451" i="1"/>
  <c r="H451" i="1"/>
  <c r="I451" i="1"/>
  <c r="F459" i="1"/>
  <c r="G459" i="1"/>
  <c r="H459" i="1"/>
  <c r="H460" i="1" s="1"/>
  <c r="H640" i="1" s="1"/>
  <c r="I459" i="1"/>
  <c r="I460" i="1" s="1"/>
  <c r="H641" i="1" s="1"/>
  <c r="F460" i="1"/>
  <c r="H638" i="1" s="1"/>
  <c r="G460" i="1"/>
  <c r="H639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G640" i="1"/>
  <c r="G642" i="1"/>
  <c r="H642" i="1"/>
  <c r="G643" i="1"/>
  <c r="G644" i="1"/>
  <c r="H646" i="1"/>
  <c r="G648" i="1"/>
  <c r="G649" i="1"/>
  <c r="G650" i="1"/>
  <c r="G651" i="1"/>
  <c r="J651" i="1" s="1"/>
  <c r="H651" i="1"/>
  <c r="G652" i="1"/>
  <c r="H652" i="1"/>
  <c r="J652" i="1" s="1"/>
  <c r="G653" i="1"/>
  <c r="H653" i="1"/>
  <c r="J653" i="1" s="1"/>
  <c r="H654" i="1"/>
  <c r="F191" i="1"/>
  <c r="L255" i="1"/>
  <c r="G163" i="2"/>
  <c r="G159" i="2"/>
  <c r="C18" i="2"/>
  <c r="F31" i="2"/>
  <c r="C26" i="10"/>
  <c r="L327" i="1"/>
  <c r="L350" i="1"/>
  <c r="A31" i="12"/>
  <c r="A40" i="12"/>
  <c r="D12" i="13"/>
  <c r="C12" i="13" s="1"/>
  <c r="G8" i="2"/>
  <c r="G161" i="2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E143" i="2"/>
  <c r="G102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L523" i="1" l="1"/>
  <c r="L533" i="1"/>
  <c r="F544" i="1"/>
  <c r="I662" i="1"/>
  <c r="G570" i="1"/>
  <c r="G158" i="2"/>
  <c r="G155" i="2"/>
  <c r="K499" i="1"/>
  <c r="J641" i="1"/>
  <c r="D50" i="2"/>
  <c r="J616" i="1"/>
  <c r="F139" i="1"/>
  <c r="G661" i="1"/>
  <c r="L289" i="1"/>
  <c r="H433" i="1"/>
  <c r="J337" i="1"/>
  <c r="J351" i="1" s="1"/>
  <c r="F31" i="13"/>
  <c r="C11" i="10"/>
  <c r="G433" i="1"/>
  <c r="H407" i="1"/>
  <c r="H643" i="1" s="1"/>
  <c r="G31" i="13"/>
  <c r="G33" i="13" s="1"/>
  <c r="K337" i="1"/>
  <c r="K351" i="1" s="1"/>
  <c r="E118" i="2"/>
  <c r="E127" i="2" s="1"/>
  <c r="I337" i="1"/>
  <c r="I351" i="1" s="1"/>
  <c r="K256" i="1"/>
  <c r="K270" i="1" s="1"/>
  <c r="H660" i="1"/>
  <c r="D7" i="13"/>
  <c r="C7" i="13" s="1"/>
  <c r="G660" i="1"/>
  <c r="L361" i="1"/>
  <c r="F660" i="1"/>
  <c r="C21" i="10"/>
  <c r="J649" i="1"/>
  <c r="F661" i="1"/>
  <c r="I661" i="1" s="1"/>
  <c r="C61" i="2"/>
  <c r="C62" i="2" s="1"/>
  <c r="C15" i="10"/>
  <c r="C118" i="2"/>
  <c r="E109" i="2"/>
  <c r="J648" i="1"/>
  <c r="C117" i="2"/>
  <c r="E108" i="2"/>
  <c r="C19" i="10"/>
  <c r="C10" i="10"/>
  <c r="F256" i="1"/>
  <c r="F270" i="1" s="1"/>
  <c r="C108" i="2"/>
  <c r="C114" i="2" s="1"/>
  <c r="C17" i="10"/>
  <c r="C16" i="10"/>
  <c r="I256" i="1"/>
  <c r="I270" i="1" s="1"/>
  <c r="L210" i="1"/>
  <c r="C13" i="10"/>
  <c r="L228" i="1"/>
  <c r="L246" i="1"/>
  <c r="H659" i="1" s="1"/>
  <c r="C123" i="2"/>
  <c r="A22" i="12"/>
  <c r="G256" i="1"/>
  <c r="G270" i="1" s="1"/>
  <c r="C80" i="2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G544" i="1"/>
  <c r="L544" i="1"/>
  <c r="H544" i="1"/>
  <c r="K550" i="1"/>
  <c r="F143" i="2"/>
  <c r="F144" i="2" s="1"/>
  <c r="K551" i="1" l="1"/>
  <c r="J647" i="1"/>
  <c r="L570" i="1"/>
  <c r="C36" i="10"/>
  <c r="L433" i="1"/>
  <c r="G637" i="1" s="1"/>
  <c r="J637" i="1" s="1"/>
  <c r="H663" i="1"/>
  <c r="H671" i="1" s="1"/>
  <c r="C6" i="10" s="1"/>
  <c r="C103" i="2"/>
  <c r="C39" i="10"/>
  <c r="I660" i="1"/>
  <c r="H192" i="1"/>
  <c r="G628" i="1" s="1"/>
  <c r="J628" i="1" s="1"/>
  <c r="C127" i="2"/>
  <c r="C27" i="10"/>
  <c r="C28" i="10" s="1"/>
  <c r="D23" i="10" s="1"/>
  <c r="G634" i="1"/>
  <c r="J634" i="1" s="1"/>
  <c r="E114" i="2"/>
  <c r="E144" i="2" s="1"/>
  <c r="J270" i="1"/>
  <c r="F192" i="1"/>
  <c r="G626" i="1" s="1"/>
  <c r="J626" i="1" s="1"/>
  <c r="L256" i="1"/>
  <c r="L270" i="1" s="1"/>
  <c r="G631" i="1" s="1"/>
  <c r="J631" i="1" s="1"/>
  <c r="F659" i="1"/>
  <c r="F663" i="1" s="1"/>
  <c r="F671" i="1" s="1"/>
  <c r="C4" i="10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 l="1"/>
  <c r="D39" i="10" s="1"/>
  <c r="H666" i="1"/>
  <c r="C144" i="2"/>
  <c r="F666" i="1"/>
  <c r="D16" i="10"/>
  <c r="C30" i="10"/>
  <c r="D21" i="10"/>
  <c r="D11" i="10"/>
  <c r="D20" i="10"/>
  <c r="D18" i="10"/>
  <c r="D24" i="10"/>
  <c r="D15" i="10"/>
  <c r="D12" i="10"/>
  <c r="D19" i="10"/>
  <c r="D22" i="10"/>
  <c r="D10" i="10"/>
  <c r="D13" i="10"/>
  <c r="D26" i="10"/>
  <c r="D25" i="10"/>
  <c r="D27" i="10"/>
  <c r="D17" i="10"/>
  <c r="G636" i="1"/>
  <c r="J636" i="1" s="1"/>
  <c r="H645" i="1"/>
  <c r="J645" i="1" s="1"/>
  <c r="D33" i="13"/>
  <c r="D36" i="13" s="1"/>
  <c r="G663" i="1"/>
  <c r="I659" i="1"/>
  <c r="I663" i="1" s="1"/>
  <c r="D37" i="10"/>
  <c r="D40" i="10"/>
  <c r="D38" i="10"/>
  <c r="J625" i="1"/>
  <c r="D35" i="10" l="1"/>
  <c r="D41" i="10" s="1"/>
  <c r="D36" i="10"/>
  <c r="H655" i="1"/>
  <c r="D28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<sst xmlns="http://schemas.openxmlformats.org/spreadsheetml/2006/main" count="3953" uniqueCount="918">
  <si>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</si>
  <si>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</si>
  <si>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</si>
  <si>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</si>
  <si>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</si>
  <si>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</si>
  <si>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</si>
  <si>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</si>
  <si>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</si>
  <si>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</si>
  <si>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</si>
  <si>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</si>
  <si>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</si>
  <si>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</si>
  <si>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</si>
  <si>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</si>
  <si>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</si>
  <si>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</si>
  <si>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</si>
  <si>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</si>
  <si>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</si>
  <si>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</si>
  <si>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</si>
  <si>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</si>
  <si>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</si>
  <si>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</si>
  <si>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</si>
  <si>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</si>
  <si>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</si>
  <si>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</si>
  <si>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</si>
  <si>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</si>
  <si>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</si>
  <si>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</si>
  <si>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</si>
  <si>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</si>
  <si>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</si>
  <si>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</si>
  <si>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</si>
  <si>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</si>
  <si>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</si>
  <si>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</si>
  <si>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</si>
  <si>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</si>
  <si>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</si>
  <si>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</si>
  <si>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</si>
  <si>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</si>
  <si>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</si>
  <si>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</si>
  <si>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</si>
  <si>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</si>
  <si>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</si>
  <si>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</si>
  <si>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</si>
  <si>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</si>
  <si>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</si>
  <si>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</si>
  <si>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</si>
  <si>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</si>
  <si>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</si>
  <si>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</si>
  <si>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</si>
  <si>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</si>
  <si>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</si>
  <si>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</si>
  <si>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</si>
  <si>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</si>
  <si>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</si>
  <si>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</si>
  <si>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</si>
  <si>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</si>
  <si>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</si>
  <si>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</si>
  <si>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</si>
  <si>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</si>
  <si>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</si>
  <si>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</si>
  <si>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</si>
  <si>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</si>
  <si>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</si>
  <si>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</si>
  <si>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</si>
  <si>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</si>
  <si>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</si>
  <si>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</si>
  <si>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</si>
  <si>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</si>
  <si>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</si>
  <si>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</si>
  <si>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</si>
  <si>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</si>
  <si>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</si>
  <si>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</si>
  <si>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</si>
  <si>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</si>
  <si>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</si>
  <si>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</si>
  <si>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</si>
  <si>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</si>
  <si>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</si>
  <si>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</si>
  <si>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</si>
  <si>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</si>
  <si>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</si>
  <si>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</si>
  <si>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</si>
  <si>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</si>
  <si>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</si>
  <si>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</si>
  <si>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</si>
  <si>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</si>
  <si>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</si>
  <si>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</si>
  <si>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</si>
  <si>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</si>
  <si>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</si>
  <si>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</si>
  <si>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</si>
  <si>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</si>
  <si>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</si>
  <si>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</si>
  <si>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</si>
  <si>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</si>
  <si>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</si>
  <si>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</si>
  <si>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</si>
  <si>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</si>
  <si>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</si>
  <si>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</si>
  <si>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</si>
  <si>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</si>
  <si>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</si>
  <si>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</si>
  <si>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</si>
  <si>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</si>
  <si>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</si>
  <si>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</si>
  <si>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</si>
  <si>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</si>
  <si>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</si>
  <si>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</si>
  <si>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</si>
  <si>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</si>
  <si>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</si>
  <si>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</si>
  <si>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</si>
  <si>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</si>
  <si>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</si>
  <si>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</si>
  <si>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</si>
  <si>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</si>
  <si>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</si>
  <si>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</si>
  <si>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</si>
  <si>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</si>
  <si>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</si>
  <si>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</si>
  <si>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</si>
  <si>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</si>
  <si>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</si>
  <si>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</si>
  <si>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</si>
  <si>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</si>
  <si>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</si>
  <si>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</si>
  <si>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</si>
  <si>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</si>
  <si>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</si>
  <si>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</si>
  <si>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</si>
  <si>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</si>
  <si>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</si>
  <si>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</si>
  <si>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</si>
  <si>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</si>
  <si>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</si>
  <si>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</si>
  <si>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</si>
  <si>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</si>
  <si>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</si>
  <si>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</si>
  <si>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</si>
  <si>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</si>
  <si>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</si>
  <si>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</si>
  <si>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</si>
  <si>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</si>
  <si>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</si>
  <si>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</si>
  <si>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</si>
  <si>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</si>
  <si>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</si>
  <si>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</si>
  <si>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</si>
  <si>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</si>
  <si>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</si>
  <si>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</si>
  <si>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</si>
  <si>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</si>
  <si>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</si>
  <si>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</si>
  <si>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</si>
  <si>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</si>
  <si>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</si>
  <si>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</si>
  <si>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</si>
  <si>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</si>
  <si>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</si>
  <si>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</si>
  <si>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</si>
  <si>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</si>
  <si>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</si>
  <si>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</si>
  <si>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</si>
  <si>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</si>
  <si>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</si>
  <si>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</si>
  <si>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</si>
  <si>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</si>
  <si>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</si>
  <si>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</si>
  <si>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</si>
  <si>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</si>
  <si>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</si>
  <si>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</si>
  <si>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</si>
  <si>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</si>
  <si>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</si>
  <si>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</si>
  <si>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</si>
  <si>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</si>
  <si>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</si>
  <si>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</si>
  <si>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</si>
  <si>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</si>
  <si>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</si>
  <si>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</si>
  <si>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</si>
  <si>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</si>
  <si>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</si>
  <si>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</si>
  <si>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</si>
  <si>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</si>
  <si>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</si>
  <si>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</si>
  <si>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</si>
  <si>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</si>
  <si>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</si>
  <si>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</si>
  <si>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</si>
  <si>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</si>
  <si>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</si>
  <si>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</si>
  <si>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</si>
  <si>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</si>
  <si>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</si>
  <si>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</si>
  <si>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</si>
  <si>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</si>
  <si>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</si>
  <si>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</si>
  <si>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</si>
  <si>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</si>
  <si>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</si>
  <si>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</si>
  <si>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</si>
  <si>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</si>
  <si>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</si>
  <si>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</si>
  <si>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</si>
  <si>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</si>
  <si>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</si>
  <si>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</si>
  <si>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</si>
  <si>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</si>
  <si>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</si>
  <si>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</si>
  <si>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</si>
  <si>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</si>
  <si>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</si>
  <si>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</si>
  <si>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</si>
  <si>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</si>
  <si>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</si>
  <si>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</si>
  <si>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</si>
  <si>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</si>
  <si>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</si>
  <si>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</si>
  <si>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</si>
  <si>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</si>
  <si>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</si>
  <si>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</si>
  <si>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</si>
  <si>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</si>
  <si>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</si>
  <si>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</si>
  <si>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</si>
  <si>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</si>
  <si>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</si>
  <si>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</si>
  <si>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</si>
  <si>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</si>
  <si>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</si>
  <si>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</si>
  <si>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</si>
  <si>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</si>
  <si>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</si>
  <si>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</si>
  <si>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</si>
  <si>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</si>
  <si>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</si>
  <si>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</si>
  <si>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</si>
  <si>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</si>
  <si>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</si>
  <si>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</si>
  <si>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</si>
  <si>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</si>
  <si>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</si>
  <si>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</si>
  <si>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</si>
  <si>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</si>
  <si>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</si>
  <si>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</si>
  <si>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</si>
  <si>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</si>
  <si>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</si>
  <si>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</si>
  <si>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</si>
  <si>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</si>
  <si>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</si>
  <si>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</si>
  <si>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</si>
  <si>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</si>
  <si>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</si>
  <si>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</si>
  <si>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</si>
  <si>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</si>
  <si>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</si>
  <si>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</si>
  <si>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</si>
  <si>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</si>
  <si>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</si>
  <si>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</si>
  <si>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</si>
  <si>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</si>
  <si>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</si>
  <si>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</si>
  <si>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</si>
  <si>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</si>
  <si>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</si>
  <si>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</si>
  <si>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</si>
  <si>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</si>
  <si>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</si>
  <si>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</si>
  <si>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</si>
  <si>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</si>
  <si>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</si>
  <si>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</si>
  <si>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</si>
  <si>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</si>
  <si>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</si>
  <si>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</si>
  <si>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</si>
  <si>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</si>
  <si>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</si>
  <si>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</si>
  <si>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</si>
  <si>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</si>
  <si>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</si>
  <si>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</si>
  <si>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</si>
  <si>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</si>
  <si>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</si>
  <si>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</si>
  <si>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</si>
  <si>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</si>
  <si>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</si>
  <si>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</si>
  <si>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</si>
  <si>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</si>
  <si>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</si>
  <si>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</si>
  <si>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</si>
  <si>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</si>
  <si>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</si>
  <si>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</si>
  <si>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</si>
  <si>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</si>
  <si>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</si>
  <si>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</si>
  <si>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</si>
  <si>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</si>
  <si>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</si>
  <si>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</si>
  <si>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</si>
  <si>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</si>
  <si>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</si>
  <si>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</si>
  <si>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</si>
  <si>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</si>
  <si>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</si>
  <si>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</si>
  <si>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</si>
  <si>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</si>
  <si>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</si>
  <si>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</si>
  <si>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</si>
  <si>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</si>
  <si>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</si>
  <si>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</si>
  <si>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</si>
  <si>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</si>
  <si>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</si>
  <si>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</si>
  <si>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</si>
  <si>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</si>
  <si>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</si>
  <si>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</si>
  <si>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</si>
  <si>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</si>
  <si>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</si>
  <si>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</si>
  <si>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</si>
  <si>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</si>
  <si>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</si>
  <si>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</si>
  <si>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</si>
  <si>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</si>
  <si>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</si>
  <si>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</si>
  <si>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</si>
  <si>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</si>
  <si>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</si>
  <si>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</si>
  <si>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</si>
  <si>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</si>
  <si>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</si>
  <si>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</si>
  <si>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</si>
  <si>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</si>
  <si>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</si>
  <si>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</si>
  <si>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</si>
  <si>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</si>
  <si>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</si>
  <si>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</si>
  <si>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</si>
  <si>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</si>
  <si>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</si>
  <si>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</si>
  <si>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</si>
  <si>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</si>
  <si>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</si>
  <si>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</si>
  <si>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</si>
  <si>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</si>
  <si>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</si>
  <si>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</si>
  <si>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</si>
  <si>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</si>
  <si>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</si>
  <si>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</si>
  <si>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</si>
  <si>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</si>
  <si>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</si>
  <si>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</si>
  <si>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</si>
  <si>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</si>
  <si>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</si>
  <si>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</si>
  <si>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</si>
  <si>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</si>
  <si>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</si>
  <si>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</si>
  <si>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</si>
  <si>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</si>
  <si>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</si>
  <si>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</si>
  <si>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</si>
  <si>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</si>
  <si>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</si>
  <si>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</si>
  <si>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</si>
  <si>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</si>
  <si>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</si>
  <si>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</si>
  <si>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</si>
  <si>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</si>
  <si>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</si>
  <si>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</si>
  <si>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</si>
  <si>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</si>
  <si>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</si>
  <si>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</si>
  <si>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</si>
  <si>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</si>
  <si>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</si>
  <si>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</si>
  <si>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</si>
  <si>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</si>
  <si>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</si>
  <si>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</si>
  <si>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</si>
  <si>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</si>
  <si>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</si>
  <si>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</si>
  <si>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</si>
  <si>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</si>
  <si>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</si>
  <si>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</si>
  <si>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</si>
  <si>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</si>
  <si>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</si>
  <si>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</si>
  <si>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</si>
  <si>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</si>
  <si>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</si>
  <si>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</si>
  <si>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</si>
  <si>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</si>
  <si>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</si>
  <si>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</si>
  <si>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</si>
  <si>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</si>
  <si>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</si>
  <si>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</si>
  <si>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</si>
  <si>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</si>
  <si>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</si>
  <si>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</si>
  <si>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</si>
  <si>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</si>
  <si>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</si>
  <si>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</si>
  <si>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</si>
  <si>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</si>
  <si>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</si>
  <si>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</si>
  <si>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</si>
  <si>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</si>
  <si>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</si>
  <si>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</si>
  <si>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</si>
  <si>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</si>
  <si>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</si>
  <si>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</si>
  <si>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</si>
  <si>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</si>
  <si>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</si>
  <si>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</si>
  <si>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</si>
  <si>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</si>
  <si>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</si>
  <si>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</si>
  <si>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</si>
  <si>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</si>
  <si>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</si>
  <si>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</si>
  <si>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</si>
  <si>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</si>
  <si>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</si>
  <si>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</si>
  <si>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</si>
  <si>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</si>
  <si>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</si>
  <si>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</si>
  <si>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</si>
  <si>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</si>
  <si>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</si>
  <si>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</si>
  <si>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</si>
  <si>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</si>
  <si>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</si>
  <si>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</si>
  <si>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</si>
  <si>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</si>
  <si>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</si>
  <si>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</si>
  <si>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</si>
  <si>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</si>
  <si>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</si>
  <si>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</si>
  <si>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</si>
  <si>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</si>
  <si>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</si>
  <si>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</si>
  <si>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</si>
  <si>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</si>
  <si>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</si>
  <si>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</si>
  <si>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</si>
  <si>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</si>
  <si>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</si>
  <si>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</si>
  <si>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</si>
  <si>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</si>
  <si>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</si>
  <si>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</si>
  <si>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</si>
  <si>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</si>
  <si>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</si>
  <si>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</si>
  <si>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</si>
  <si>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</si>
  <si>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</si>
  <si>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</si>
  <si>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</si>
  <si>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</si>
  <si>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</si>
  <si>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</si>
  <si>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</si>
  <si>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</si>
  <si>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</si>
  <si>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</si>
  <si>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</si>
  <si>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</si>
  <si>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</si>
  <si>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</si>
  <si>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</si>
  <si>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</si>
  <si>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</si>
  <si>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</si>
  <si>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</si>
  <si>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</si>
  <si>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</si>
  <si>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</si>
  <si>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</si>
  <si>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</si>
  <si>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</si>
  <si>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</si>
  <si>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</si>
  <si>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</si>
  <si>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</si>
  <si>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</si>
  <si>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</si>
  <si>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</si>
  <si>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</si>
  <si>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</si>
  <si>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</si>
  <si>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</si>
  <si>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</si>
  <si>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</si>
  <si>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</si>
  <si>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</si>
  <si>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</si>
  <si>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</si>
  <si>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</si>
  <si>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</si>
  <si>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</si>
  <si>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</si>
  <si>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</si>
  <si>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</si>
  <si>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</si>
  <si>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</si>
  <si>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</si>
  <si>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</si>
  <si>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</si>
  <si>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</si>
  <si>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</si>
  <si>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</si>
  <si>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</si>
  <si>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</si>
  <si>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</si>
  <si>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</si>
  <si>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</si>
  <si>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</si>
  <si>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</si>
  <si>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</si>
  <si>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</si>
  <si>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</si>
  <si>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</si>
  <si>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</si>
  <si>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</si>
  <si>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</si>
  <si>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</si>
  <si>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</si>
  <si>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</si>
  <si>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</si>
  <si>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</si>
  <si>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</si>
  <si>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</si>
  <si>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</si>
  <si>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</si>
  <si>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</si>
  <si>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</si>
  <si>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</si>
  <si>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</si>
  <si>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</si>
  <si>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</si>
  <si>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</si>
  <si>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</si>
  <si>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</si>
  <si>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</si>
  <si>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</si>
  <si>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</si>
  <si>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</si>
  <si>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</si>
  <si>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</si>
  <si>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</si>
  <si>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</si>
  <si>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</si>
  <si>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</si>
  <si>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</si>
  <si>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</si>
  <si>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</si>
  <si>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</si>
  <si>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</si>
  <si>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</si>
  <si>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</si>
  <si>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</si>
  <si>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</si>
  <si>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</si>
  <si>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</si>
  <si>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</si>
  <si>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</si>
  <si>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</si>
  <si>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</si>
  <si>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</si>
  <si>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</si>
  <si>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</si>
  <si>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</si>
  <si>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</si>
  <si>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</si>
  <si>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</si>
  <si>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</si>
  <si>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</si>
  <si>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</si>
  <si>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</si>
  <si>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</si>
  <si>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</si>
  <si>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</si>
  <si>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</si>
  <si>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</si>
  <si>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</si>
  <si>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</si>
  <si>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</si>
  <si>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</si>
  <si>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</si>
  <si>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</si>
  <si>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</si>
  <si>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</si>
  <si>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</si>
  <si>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</si>
  <si>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</si>
  <si>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</si>
  <si>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</si>
  <si>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</si>
  <si>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</si>
  <si>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</si>
  <si>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</si>
  <si>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</si>
  <si>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</si>
  <si>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</si>
  <si>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</si>
  <si>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</si>
  <si>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</si>
  <si>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</si>
  <si>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</si>
  <si>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</si>
  <si>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</si>
  <si>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</si>
  <si>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</si>
  <si>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</si>
  <si>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</si>
  <si>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</si>
  <si>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</si>
  <si>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</si>
  <si>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</si>
  <si>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</si>
  <si>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</si>
  <si>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</si>
  <si>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</si>
  <si>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</si>
  <si>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</si>
  <si>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</si>
  <si>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</si>
  <si>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</si>
  <si>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</si>
  <si>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</si>
  <si>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</si>
  <si>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</si>
  <si>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</si>
  <si>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</si>
  <si>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</si>
  <si>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</si>
  <si>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</si>
  <si>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</si>
  <si>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</si>
  <si>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</si>
  <si>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</si>
  <si>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</si>
  <si>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</si>
  <si>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</si>
  <si>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</si>
  <si>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</si>
  <si>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</si>
  <si>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</si>
  <si>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</si>
  <si>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</si>
  <si>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</si>
  <si>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</si>
  <si>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</si>
  <si>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</si>
  <si>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</si>
  <si>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</si>
  <si>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</si>
  <si>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</si>
  <si>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</si>
  <si>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</si>
  <si>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</si>
  <si>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</si>
  <si>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</si>
  <si>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</si>
  <si>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</si>
  <si>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</si>
  <si>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</si>
  <si>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</si>
  <si>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</si>
  <si>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</si>
  <si>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</si>
  <si>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</si>
  <si>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</si>
  <si>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</si>
  <si>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</si>
  <si>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</si>
  <si>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</si>
  <si>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</si>
  <si>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</si>
  <si>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</si>
  <si>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</si>
  <si>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</si>
  <si>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</si>
  <si>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</si>
  <si>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</si>
  <si>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</si>
  <si>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</si>
  <si>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</si>
  <si>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</si>
  <si>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</si>
  <si>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</si>
  <si>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</si>
  <si>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</si>
  <si>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</si>
  <si>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</si>
  <si>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</si>
  <si>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</si>
  <si>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</si>
  <si>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</si>
  <si>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</si>
  <si>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</si>
  <si>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</si>
  <si>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</si>
  <si>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</si>
  <si>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</si>
  <si>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</si>
  <si>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</si>
  <si>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</si>
  <si>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</si>
  <si>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</si>
  <si>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</si>
  <si>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</si>
  <si>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</si>
  <si>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</si>
  <si>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</si>
  <si>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</si>
  <si>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</si>
  <si>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</si>
  <si>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</si>
  <si>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</si>
  <si>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</si>
  <si>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</si>
  <si>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</si>
  <si>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</si>
  <si>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</si>
  <si>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</si>
  <si>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</si>
  <si>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</si>
  <si>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</si>
  <si>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</si>
  <si>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</si>
  <si>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</si>
  <si>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</si>
  <si>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</si>
  <si>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</si>
  <si>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</si>
  <si>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</si>
  <si>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</si>
  <si>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</si>
  <si>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</si>
  <si>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</si>
  <si>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</si>
  <si>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</si>
  <si>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</si>
  <si>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</si>
  <si>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</si>
  <si>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</si>
  <si>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</si>
  <si>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</si>
  <si>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</si>
  <si>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</si>
  <si>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</si>
  <si>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</si>
  <si>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</si>
  <si>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</si>
  <si>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</si>
  <si>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Private Purpose Trusts (Scholarships)</t>
  </si>
  <si>
    <t>Permanent Funds</t>
  </si>
  <si>
    <t>11/02</t>
  </si>
  <si>
    <t>11/12</t>
  </si>
  <si>
    <t>7/05</t>
  </si>
  <si>
    <t>8/15</t>
  </si>
  <si>
    <t>7/06</t>
  </si>
  <si>
    <t>8/21</t>
  </si>
  <si>
    <t>Jaffrey-Rindge Cooperative School District (SAU47)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</si>
</sst>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917</v>
      </c>
      <c r="B2" s="21">
        <v>274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621928.35+4090</f>
        <v>626018.35</v>
      </c>
      <c r="G9" s="18">
        <v>1929.94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2460683.69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623247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180867.24</v>
      </c>
      <c r="G12" s="18">
        <v>23267.69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35745.06</v>
      </c>
      <c r="G13" s="18">
        <v>11088.49</v>
      </c>
      <c r="H13" s="18">
        <v>210496.8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5100</v>
      </c>
      <c r="G14" s="18">
        <v>116.45</v>
      </c>
      <c r="H14" s="18"/>
      <c r="I14" s="18"/>
      <c r="J14" s="67">
        <f>SUM(I442)</f>
        <v>500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22045.5+3000</f>
        <v>25045.5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1496023.1500000001</v>
      </c>
      <c r="G19" s="41">
        <f>SUM(G9:G18)</f>
        <v>36402.569999999992</v>
      </c>
      <c r="H19" s="41">
        <f>SUM(H9:H18)</f>
        <v>210496.8</v>
      </c>
      <c r="I19" s="41">
        <f>SUM(I9:I18)</f>
        <v>0</v>
      </c>
      <c r="J19" s="41">
        <f>SUM(J9:J18)</f>
        <v>2461183.69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204134.93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124244.89</v>
      </c>
      <c r="G24" s="18"/>
      <c r="H24" s="18">
        <v>6361.87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8">
        <v>23979.05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37505.01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2646.53+3011.02+22382.11</f>
        <v>28039.66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11930.2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189789.56</v>
      </c>
      <c r="G32" s="41">
        <f>SUM(G22:G31)</f>
        <v>35909.25</v>
      </c>
      <c r="H32" s="41">
        <f>SUM(H22:H31)</f>
        <v>210496.8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25045.5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756210.32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38535.049999999996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493.32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1666438.32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158251.37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225332.66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4228.05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743376.01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1306233.5900000001</v>
      </c>
      <c r="G50" s="41">
        <f>SUM(G35:G49)</f>
        <v>493.32</v>
      </c>
      <c r="H50" s="41">
        <f>SUM(H35:H49)</f>
        <v>0</v>
      </c>
      <c r="I50" s="41">
        <f>SUM(I35:I49)</f>
        <v>0</v>
      </c>
      <c r="J50" s="41">
        <f>SUM(J35:J49)</f>
        <v>2461183.69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1496023.1500000001</v>
      </c>
      <c r="G51" s="41">
        <f>G50+G32</f>
        <v>36402.57</v>
      </c>
      <c r="H51" s="41">
        <f>H50+H32</f>
        <v>210496.8</v>
      </c>
      <c r="I51" s="41">
        <f>I50+I32</f>
        <v>0</v>
      </c>
      <c r="J51" s="41">
        <f>J50+J32</f>
        <v>2461183.69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14274457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14274457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8512.5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150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20997.56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29660.06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1807.96</v>
      </c>
      <c r="G95" s="18"/>
      <c r="H95" s="18"/>
      <c r="I95" s="18"/>
      <c r="J95" s="18">
        <f>96058.72+0.02</f>
        <v>96058.74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297756.99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2485.35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80189.990000000005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84483.3</v>
      </c>
      <c r="G110" s="41">
        <f>SUM(G95:G109)</f>
        <v>297756.99</v>
      </c>
      <c r="H110" s="41">
        <f>SUM(H95:H109)</f>
        <v>0</v>
      </c>
      <c r="I110" s="41">
        <f>SUM(I95:I109)</f>
        <v>0</v>
      </c>
      <c r="J110" s="41">
        <f>SUM(J95:J109)</f>
        <v>96058.74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14388600.360000001</v>
      </c>
      <c r="G111" s="41">
        <f>G59+G110</f>
        <v>297756.99</v>
      </c>
      <c r="H111" s="41">
        <f>H59+H78+H93+H110</f>
        <v>0</v>
      </c>
      <c r="I111" s="41">
        <f>I59+I110</f>
        <v>0</v>
      </c>
      <c r="J111" s="41">
        <f>J59+J110</f>
        <v>96058.74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5170957.71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2418805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4480.29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19110.849999999999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7613353.8499999996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373098.17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257662.85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5948.58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>
        <v>7845.27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7511.14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636709.6</v>
      </c>
      <c r="G135" s="41">
        <f>SUM(G122:G134)</f>
        <v>7511.14</v>
      </c>
      <c r="H135" s="41">
        <f>SUM(H122:H134)</f>
        <v>7845.27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8250063.4499999993</v>
      </c>
      <c r="G139" s="41">
        <f>G120+SUM(G135:G136)</f>
        <v>7511.14</v>
      </c>
      <c r="H139" s="41">
        <f>H120+SUM(H135:H138)</f>
        <v>7845.27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434766.76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335912.31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248888.25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406557.4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159589.82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163550.01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323139.83</v>
      </c>
      <c r="G161" s="41">
        <f>SUM(G149:G160)</f>
        <v>248888.25</v>
      </c>
      <c r="H161" s="41">
        <f>SUM(H149:H160)</f>
        <v>1177236.4700000002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323139.83</v>
      </c>
      <c r="G168" s="41">
        <f>G146+G161+SUM(G162:G167)</f>
        <v>248888.25</v>
      </c>
      <c r="H168" s="41">
        <f>H146+H161+SUM(H162:H167)</f>
        <v>1177236.4700000002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52500</v>
      </c>
      <c r="H178" s="18"/>
      <c r="I178" s="18"/>
      <c r="J178" s="18">
        <v>93000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15764.69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15764.69</v>
      </c>
      <c r="G182" s="41">
        <f>SUM(G178:G181)</f>
        <v>52500</v>
      </c>
      <c r="H182" s="41">
        <f>SUM(H178:H181)</f>
        <v>0</v>
      </c>
      <c r="I182" s="41">
        <f>SUM(I178:I181)</f>
        <v>0</v>
      </c>
      <c r="J182" s="41">
        <f>SUM(J178:J181)</f>
        <v>93000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15764.69</v>
      </c>
      <c r="G191" s="41">
        <f>G182+SUM(G187:G190)</f>
        <v>52500</v>
      </c>
      <c r="H191" s="41">
        <f>+H182+SUM(H187:H190)</f>
        <v>0</v>
      </c>
      <c r="I191" s="41">
        <f>I176+I182+SUM(I187:I190)</f>
        <v>0</v>
      </c>
      <c r="J191" s="41">
        <f>J182</f>
        <v>93000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22977568.330000002</v>
      </c>
      <c r="G192" s="47">
        <f>G111+G139+G168+G191</f>
        <v>606656.38</v>
      </c>
      <c r="H192" s="47">
        <f>H111+H139+H168+H191</f>
        <v>1185081.7400000002</v>
      </c>
      <c r="I192" s="47">
        <f>I111+I139+I168+I191</f>
        <v>0</v>
      </c>
      <c r="J192" s="47">
        <f>J111+J139+J191</f>
        <v>189058.74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2383117.21</v>
      </c>
      <c r="G196" s="18">
        <v>873511.06</v>
      </c>
      <c r="H196" s="18">
        <v>22956.38</v>
      </c>
      <c r="I196" s="18">
        <v>266532.87</v>
      </c>
      <c r="J196" s="18">
        <v>7338.48</v>
      </c>
      <c r="K196" s="18">
        <v>110</v>
      </c>
      <c r="L196" s="19">
        <f>SUM(F196:K196)</f>
        <v>3553566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1152060.5</v>
      </c>
      <c r="G197" s="18">
        <v>489500.82</v>
      </c>
      <c r="H197" s="18">
        <v>119288.22</v>
      </c>
      <c r="I197" s="18">
        <v>19603.330000000002</v>
      </c>
      <c r="J197" s="18">
        <v>2652.98</v>
      </c>
      <c r="K197" s="18">
        <v>10706.6</v>
      </c>
      <c r="L197" s="19">
        <f>SUM(F197:K197)</f>
        <v>1793812.4500000002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93498.74</v>
      </c>
      <c r="G199" s="18">
        <v>15700.38</v>
      </c>
      <c r="H199" s="18"/>
      <c r="I199" s="18">
        <v>1217.4100000000001</v>
      </c>
      <c r="J199" s="18">
        <v>3620</v>
      </c>
      <c r="K199" s="18">
        <v>415</v>
      </c>
      <c r="L199" s="19">
        <f>SUM(F199:K199)</f>
        <v>114451.53000000001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368063.99</v>
      </c>
      <c r="G201" s="18">
        <v>166814.07999999999</v>
      </c>
      <c r="H201" s="18">
        <v>18182.5</v>
      </c>
      <c r="I201" s="18">
        <v>7634.88</v>
      </c>
      <c r="J201" s="18">
        <v>129</v>
      </c>
      <c r="K201" s="18"/>
      <c r="L201" s="19">
        <f t="shared" ref="L201:L207" si="0">SUM(F201:K201)</f>
        <v>560824.44999999995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168349.19</v>
      </c>
      <c r="G202" s="18">
        <v>49894.98</v>
      </c>
      <c r="H202" s="18">
        <v>20703.349999999999</v>
      </c>
      <c r="I202" s="18">
        <v>20781.16</v>
      </c>
      <c r="J202" s="18">
        <v>3792.59</v>
      </c>
      <c r="K202" s="18">
        <v>2669.84</v>
      </c>
      <c r="L202" s="19">
        <f t="shared" si="0"/>
        <v>266191.11000000004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82974.8</v>
      </c>
      <c r="G203" s="18">
        <v>17650.37</v>
      </c>
      <c r="H203" s="18">
        <v>39317.39</v>
      </c>
      <c r="I203" s="18">
        <v>804.8</v>
      </c>
      <c r="J203" s="18"/>
      <c r="K203" s="18">
        <v>4374.3500000000004</v>
      </c>
      <c r="L203" s="19">
        <f t="shared" si="0"/>
        <v>145121.71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355264.39</v>
      </c>
      <c r="G204" s="18">
        <v>149896.71</v>
      </c>
      <c r="H204" s="18">
        <v>7044.24</v>
      </c>
      <c r="I204" s="18">
        <v>3229.14</v>
      </c>
      <c r="J204" s="18">
        <v>6352.94</v>
      </c>
      <c r="K204" s="18">
        <v>4430.25</v>
      </c>
      <c r="L204" s="19">
        <f t="shared" si="0"/>
        <v>526217.66999999993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95160.320000000007</v>
      </c>
      <c r="G205" s="18">
        <v>47445.13</v>
      </c>
      <c r="H205" s="18">
        <v>37099.1</v>
      </c>
      <c r="I205" s="18">
        <v>5938.48</v>
      </c>
      <c r="J205" s="18">
        <v>656.97</v>
      </c>
      <c r="K205" s="18">
        <v>2422.04</v>
      </c>
      <c r="L205" s="19">
        <f t="shared" si="0"/>
        <v>188722.04000000004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294688.31</v>
      </c>
      <c r="G206" s="18">
        <v>154423.32</v>
      </c>
      <c r="H206" s="18">
        <v>763129.13</v>
      </c>
      <c r="I206" s="18">
        <v>236763.18</v>
      </c>
      <c r="J206" s="18">
        <v>2701.65</v>
      </c>
      <c r="K206" s="18">
        <v>105.8</v>
      </c>
      <c r="L206" s="19">
        <f t="shared" si="0"/>
        <v>1451811.39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366039.22</v>
      </c>
      <c r="I207" s="18">
        <v>69015.11</v>
      </c>
      <c r="J207" s="18"/>
      <c r="K207" s="18"/>
      <c r="L207" s="19">
        <f t="shared" si="0"/>
        <v>435054.32999999996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70193.440000000002</v>
      </c>
      <c r="G208" s="18">
        <v>25007.55</v>
      </c>
      <c r="H208" s="18">
        <v>63036.91</v>
      </c>
      <c r="I208" s="18">
        <v>59025.63</v>
      </c>
      <c r="J208" s="18">
        <v>33474.699999999997</v>
      </c>
      <c r="K208" s="18"/>
      <c r="L208" s="19">
        <f>SUM(F208:K208)</f>
        <v>250738.23000000004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5063370.8900000006</v>
      </c>
      <c r="G210" s="41">
        <f t="shared" si="1"/>
        <v>1989844.4000000001</v>
      </c>
      <c r="H210" s="41">
        <f t="shared" si="1"/>
        <v>1456796.44</v>
      </c>
      <c r="I210" s="41">
        <f t="shared" si="1"/>
        <v>690545.99</v>
      </c>
      <c r="J210" s="41">
        <f t="shared" si="1"/>
        <v>60719.31</v>
      </c>
      <c r="K210" s="41">
        <f t="shared" si="1"/>
        <v>25233.88</v>
      </c>
      <c r="L210" s="41">
        <f t="shared" si="1"/>
        <v>9286510.910000002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1045551.55</v>
      </c>
      <c r="G214" s="18">
        <v>456059.07</v>
      </c>
      <c r="H214" s="18">
        <v>8136.99</v>
      </c>
      <c r="I214" s="18">
        <v>45266.39</v>
      </c>
      <c r="J214" s="18">
        <v>6786.7</v>
      </c>
      <c r="K214" s="18">
        <v>104</v>
      </c>
      <c r="L214" s="19">
        <f>SUM(F214:K214)</f>
        <v>1561904.7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607013.92000000004</v>
      </c>
      <c r="G215" s="18">
        <v>307393.88</v>
      </c>
      <c r="H215" s="18">
        <v>269709.34000000003</v>
      </c>
      <c r="I215" s="18">
        <v>10281.01</v>
      </c>
      <c r="J215" s="18">
        <v>1042.51</v>
      </c>
      <c r="K215" s="18">
        <v>5120.54</v>
      </c>
      <c r="L215" s="19">
        <f>SUM(F215:K215)</f>
        <v>1200561.2000000002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137097.51</v>
      </c>
      <c r="G216" s="18">
        <v>40428.28</v>
      </c>
      <c r="H216" s="18">
        <v>578.95000000000005</v>
      </c>
      <c r="I216" s="18">
        <v>3898.92</v>
      </c>
      <c r="J216" s="18">
        <v>1565</v>
      </c>
      <c r="K216" s="18"/>
      <c r="L216" s="19">
        <f>SUM(F216:K216)</f>
        <v>183568.66000000003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53436.66</v>
      </c>
      <c r="G217" s="18">
        <v>9273.56</v>
      </c>
      <c r="H217" s="18">
        <v>1420</v>
      </c>
      <c r="I217" s="18">
        <v>2375.16</v>
      </c>
      <c r="J217" s="18"/>
      <c r="K217" s="18">
        <v>780</v>
      </c>
      <c r="L217" s="19">
        <f>SUM(F217:K217)</f>
        <v>67285.38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257866.26</v>
      </c>
      <c r="G219" s="18">
        <v>90197.93</v>
      </c>
      <c r="H219" s="18">
        <v>6113.75</v>
      </c>
      <c r="I219" s="18">
        <v>3409.16</v>
      </c>
      <c r="J219" s="18"/>
      <c r="K219" s="18"/>
      <c r="L219" s="19">
        <f t="shared" ref="L219:L225" si="2">SUM(F219:K219)</f>
        <v>357587.1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84019.48</v>
      </c>
      <c r="G220" s="18">
        <v>29344.41</v>
      </c>
      <c r="H220" s="18">
        <v>9901.6200000000008</v>
      </c>
      <c r="I220" s="18">
        <v>10245.52</v>
      </c>
      <c r="J220" s="18">
        <v>143.66999999999999</v>
      </c>
      <c r="K220" s="18">
        <v>1276.8800000000001</v>
      </c>
      <c r="L220" s="19">
        <f t="shared" si="2"/>
        <v>134931.58000000002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39683.599999999999</v>
      </c>
      <c r="G221" s="18">
        <v>8441.5</v>
      </c>
      <c r="H221" s="18">
        <v>18803.97</v>
      </c>
      <c r="I221" s="18">
        <v>384.9</v>
      </c>
      <c r="J221" s="18"/>
      <c r="K221" s="18">
        <v>2092.08</v>
      </c>
      <c r="L221" s="19">
        <f t="shared" si="2"/>
        <v>69406.05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236592.58</v>
      </c>
      <c r="G222" s="18">
        <v>110324.49</v>
      </c>
      <c r="H222" s="18">
        <v>5905.73</v>
      </c>
      <c r="I222" s="18">
        <v>823.32</v>
      </c>
      <c r="J222" s="18">
        <v>2225.31</v>
      </c>
      <c r="K222" s="18">
        <v>1173.5</v>
      </c>
      <c r="L222" s="19">
        <f t="shared" si="2"/>
        <v>357044.93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45511.45</v>
      </c>
      <c r="G223" s="18">
        <v>22691.17</v>
      </c>
      <c r="H223" s="18">
        <v>17743.04</v>
      </c>
      <c r="I223" s="18">
        <v>2840.15</v>
      </c>
      <c r="J223" s="18">
        <v>314.20999999999998</v>
      </c>
      <c r="K223" s="18">
        <v>1158.3599999999999</v>
      </c>
      <c r="L223" s="19">
        <f t="shared" si="2"/>
        <v>90258.38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127998.63</v>
      </c>
      <c r="G224" s="18">
        <v>52015.89</v>
      </c>
      <c r="H224" s="18">
        <v>70338.720000000001</v>
      </c>
      <c r="I224" s="18">
        <v>155675.63</v>
      </c>
      <c r="J224" s="18">
        <v>1292.0999999999999</v>
      </c>
      <c r="K224" s="18">
        <v>50.6</v>
      </c>
      <c r="L224" s="19">
        <f t="shared" si="2"/>
        <v>407371.56999999995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289314.69</v>
      </c>
      <c r="I225" s="18">
        <v>33007.22</v>
      </c>
      <c r="J225" s="18"/>
      <c r="K225" s="18"/>
      <c r="L225" s="19">
        <f t="shared" si="2"/>
        <v>322321.91000000003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33570.78</v>
      </c>
      <c r="G226" s="18">
        <v>11960.13</v>
      </c>
      <c r="H226" s="18">
        <v>30148.080000000002</v>
      </c>
      <c r="I226" s="18">
        <v>31792.03</v>
      </c>
      <c r="J226" s="18">
        <v>87108.15</v>
      </c>
      <c r="K226" s="18"/>
      <c r="L226" s="19">
        <f>SUM(F226:K226)</f>
        <v>194579.16999999998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2668342.4200000004</v>
      </c>
      <c r="G228" s="41">
        <f>SUM(G214:G227)</f>
        <v>1138130.3099999998</v>
      </c>
      <c r="H228" s="41">
        <f>SUM(H214:H227)</f>
        <v>728114.88</v>
      </c>
      <c r="I228" s="41">
        <f>SUM(I214:I227)</f>
        <v>299999.41000000003</v>
      </c>
      <c r="J228" s="41">
        <f>SUM(J214:J227)</f>
        <v>100477.65</v>
      </c>
      <c r="K228" s="41">
        <f t="shared" si="3"/>
        <v>11755.960000000001</v>
      </c>
      <c r="L228" s="41">
        <f t="shared" si="3"/>
        <v>4946820.6300000008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1442469.65</v>
      </c>
      <c r="G232" s="18">
        <v>630411.68999999994</v>
      </c>
      <c r="H232" s="18">
        <v>14358.48</v>
      </c>
      <c r="I232" s="18">
        <v>76506.02</v>
      </c>
      <c r="J232" s="18">
        <v>5234.67</v>
      </c>
      <c r="K232" s="18">
        <v>15909.95</v>
      </c>
      <c r="L232" s="19">
        <f>SUM(F232:K232)</f>
        <v>2184890.46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852813.53</v>
      </c>
      <c r="G233" s="18">
        <v>347896.21</v>
      </c>
      <c r="H233" s="18">
        <v>433280.1</v>
      </c>
      <c r="I233" s="18">
        <v>13720.14</v>
      </c>
      <c r="J233" s="18">
        <v>1615.12</v>
      </c>
      <c r="K233" s="18">
        <v>7448.07</v>
      </c>
      <c r="L233" s="19">
        <f>SUM(F233:K233)</f>
        <v>1656773.17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134272.45000000001</v>
      </c>
      <c r="G234" s="18">
        <v>46506.67</v>
      </c>
      <c r="H234" s="18">
        <v>41113.57</v>
      </c>
      <c r="I234" s="18">
        <v>22335.75</v>
      </c>
      <c r="J234" s="18">
        <v>2117.98</v>
      </c>
      <c r="K234" s="18"/>
      <c r="L234" s="19">
        <f>SUM(F234:K234)</f>
        <v>246346.42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87735.61</v>
      </c>
      <c r="G235" s="18">
        <v>11254.92</v>
      </c>
      <c r="H235" s="18">
        <v>25607.02</v>
      </c>
      <c r="I235" s="18">
        <v>17830.439999999999</v>
      </c>
      <c r="J235" s="18">
        <v>7496</v>
      </c>
      <c r="K235" s="18">
        <v>6640</v>
      </c>
      <c r="L235" s="19">
        <f>SUM(F235:K235)</f>
        <v>156563.99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385910.66</v>
      </c>
      <c r="G237" s="18">
        <v>127925.13</v>
      </c>
      <c r="H237" s="18">
        <v>7329.69</v>
      </c>
      <c r="I237" s="18">
        <v>9374.2099999999991</v>
      </c>
      <c r="J237" s="18"/>
      <c r="K237" s="18"/>
      <c r="L237" s="19">
        <f t="shared" ref="L237:L243" si="4">SUM(F237:K237)</f>
        <v>530539.68999999994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108062.25</v>
      </c>
      <c r="G238" s="18">
        <v>38613.660000000003</v>
      </c>
      <c r="H238" s="18">
        <v>14420.33</v>
      </c>
      <c r="I238" s="18">
        <v>17873.45</v>
      </c>
      <c r="J238" s="18"/>
      <c r="K238" s="18">
        <v>1857.28</v>
      </c>
      <c r="L238" s="19">
        <f t="shared" si="4"/>
        <v>180826.97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57721.599999999999</v>
      </c>
      <c r="G239" s="18">
        <v>12278.52</v>
      </c>
      <c r="H239" s="18">
        <v>27351.23</v>
      </c>
      <c r="I239" s="18">
        <v>559.86</v>
      </c>
      <c r="J239" s="18"/>
      <c r="K239" s="18">
        <v>3043.02</v>
      </c>
      <c r="L239" s="19">
        <f t="shared" si="4"/>
        <v>100954.23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242219.25</v>
      </c>
      <c r="G240" s="18">
        <v>84282.78</v>
      </c>
      <c r="H240" s="18">
        <v>10091.27</v>
      </c>
      <c r="I240" s="18">
        <v>1605.19</v>
      </c>
      <c r="J240" s="18"/>
      <c r="K240" s="18">
        <v>3865.75</v>
      </c>
      <c r="L240" s="19">
        <f t="shared" si="4"/>
        <v>342064.24000000005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66198.48</v>
      </c>
      <c r="G241" s="18">
        <v>33005.300000000003</v>
      </c>
      <c r="H241" s="18">
        <v>25808.07</v>
      </c>
      <c r="I241" s="18">
        <v>4131.12</v>
      </c>
      <c r="J241" s="18">
        <v>457.02</v>
      </c>
      <c r="K241" s="18">
        <v>1684.9</v>
      </c>
      <c r="L241" s="19">
        <f t="shared" si="4"/>
        <v>131284.89000000001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167435.59</v>
      </c>
      <c r="G242" s="18">
        <v>63678.21</v>
      </c>
      <c r="H242" s="18">
        <v>182855.2</v>
      </c>
      <c r="I242" s="18">
        <v>147368.16</v>
      </c>
      <c r="J242" s="18">
        <v>1879.41</v>
      </c>
      <c r="K242" s="18">
        <v>73.599999999999994</v>
      </c>
      <c r="L242" s="19">
        <f t="shared" si="4"/>
        <v>563290.17000000004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519842.34</v>
      </c>
      <c r="I243" s="18">
        <v>48010.51</v>
      </c>
      <c r="J243" s="18"/>
      <c r="K243" s="18"/>
      <c r="L243" s="19">
        <f t="shared" si="4"/>
        <v>567852.85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48830.22</v>
      </c>
      <c r="G244" s="18">
        <v>17396.560000000001</v>
      </c>
      <c r="H244" s="18">
        <v>43851.77</v>
      </c>
      <c r="I244" s="18">
        <v>50844.57</v>
      </c>
      <c r="J244" s="18">
        <v>117827.89</v>
      </c>
      <c r="K244" s="18"/>
      <c r="L244" s="19">
        <f>SUM(F244:K244)</f>
        <v>278751.01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3593669.29</v>
      </c>
      <c r="G246" s="41">
        <f t="shared" si="5"/>
        <v>1413249.6500000001</v>
      </c>
      <c r="H246" s="41">
        <f t="shared" si="5"/>
        <v>1345909.07</v>
      </c>
      <c r="I246" s="41">
        <f t="shared" si="5"/>
        <v>410159.42</v>
      </c>
      <c r="J246" s="41">
        <f t="shared" si="5"/>
        <v>136628.09</v>
      </c>
      <c r="K246" s="41">
        <f t="shared" si="5"/>
        <v>40522.57</v>
      </c>
      <c r="L246" s="41">
        <f t="shared" si="5"/>
        <v>6940138.0899999999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9438</v>
      </c>
      <c r="K254" s="18"/>
      <c r="L254" s="19">
        <f t="shared" si="6"/>
        <v>9438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9438</v>
      </c>
      <c r="K255" s="41">
        <f t="shared" si="7"/>
        <v>0</v>
      </c>
      <c r="L255" s="41">
        <f>SUM(F255:K255)</f>
        <v>9438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11325382.600000001</v>
      </c>
      <c r="G256" s="41">
        <f t="shared" si="8"/>
        <v>4541224.3600000003</v>
      </c>
      <c r="H256" s="41">
        <f t="shared" si="8"/>
        <v>3530820.3899999997</v>
      </c>
      <c r="I256" s="41">
        <f t="shared" si="8"/>
        <v>1400704.82</v>
      </c>
      <c r="J256" s="41">
        <f t="shared" si="8"/>
        <v>307263.05</v>
      </c>
      <c r="K256" s="41">
        <f t="shared" si="8"/>
        <v>77512.41</v>
      </c>
      <c r="L256" s="41">
        <f t="shared" si="8"/>
        <v>21182907.630000003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810000</v>
      </c>
      <c r="L259" s="19">
        <f>SUM(F259:K259)</f>
        <v>810000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331740</v>
      </c>
      <c r="L260" s="19">
        <f>SUM(F260:K260)</f>
        <v>331740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52500</v>
      </c>
      <c r="L262" s="19">
        <f>SUM(F262:K262)</f>
        <v>52500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93000</v>
      </c>
      <c r="L265" s="19">
        <f t="shared" si="9"/>
        <v>93000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1287240</v>
      </c>
      <c r="L269" s="41">
        <f t="shared" si="9"/>
        <v>1287240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11325382.600000001</v>
      </c>
      <c r="G270" s="42">
        <f t="shared" si="11"/>
        <v>4541224.3600000003</v>
      </c>
      <c r="H270" s="42">
        <f t="shared" si="11"/>
        <v>3530820.3899999997</v>
      </c>
      <c r="I270" s="42">
        <f t="shared" si="11"/>
        <v>1400704.82</v>
      </c>
      <c r="J270" s="42">
        <f t="shared" si="11"/>
        <v>307263.05</v>
      </c>
      <c r="K270" s="42">
        <f t="shared" si="11"/>
        <v>1364752.41</v>
      </c>
      <c r="L270" s="42">
        <f t="shared" si="11"/>
        <v>22470147.630000003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250304.26</v>
      </c>
      <c r="G275" s="18">
        <v>96739.83</v>
      </c>
      <c r="H275" s="18">
        <v>5232.18</v>
      </c>
      <c r="I275" s="18">
        <v>9610.36</v>
      </c>
      <c r="J275" s="18">
        <v>4687.2700000000004</v>
      </c>
      <c r="K275" s="18"/>
      <c r="L275" s="19">
        <f>SUM(F275:K275)</f>
        <v>366573.9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69855.64</v>
      </c>
      <c r="G276" s="18">
        <v>20665.79</v>
      </c>
      <c r="H276" s="18"/>
      <c r="I276" s="18"/>
      <c r="J276" s="18"/>
      <c r="K276" s="18"/>
      <c r="L276" s="19">
        <f>SUM(F276:K276)</f>
        <v>90521.43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82174.48</v>
      </c>
      <c r="G278" s="18">
        <v>19525.53</v>
      </c>
      <c r="H278" s="18">
        <v>63959.82</v>
      </c>
      <c r="I278" s="18">
        <v>7119.13</v>
      </c>
      <c r="J278" s="18"/>
      <c r="K278" s="18">
        <v>113.9</v>
      </c>
      <c r="L278" s="19">
        <f>SUM(F278:K278)</f>
        <v>172892.86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39297.43</v>
      </c>
      <c r="G280" s="18">
        <v>13102.4</v>
      </c>
      <c r="H280" s="18">
        <v>17025.349999999999</v>
      </c>
      <c r="I280" s="18">
        <v>7312.7</v>
      </c>
      <c r="J280" s="18"/>
      <c r="K280" s="18"/>
      <c r="L280" s="19">
        <f t="shared" ref="L280:L286" si="12">SUM(F280:K280)</f>
        <v>76737.87999999999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92970.12</v>
      </c>
      <c r="G281" s="18">
        <v>15508.64</v>
      </c>
      <c r="H281" s="18">
        <v>17347.41</v>
      </c>
      <c r="I281" s="18">
        <v>4703.7</v>
      </c>
      <c r="J281" s="18">
        <v>365.76</v>
      </c>
      <c r="K281" s="18"/>
      <c r="L281" s="19">
        <f t="shared" si="12"/>
        <v>130895.62999999999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512.5</v>
      </c>
      <c r="I286" s="18"/>
      <c r="J286" s="18"/>
      <c r="K286" s="18"/>
      <c r="L286" s="19">
        <f t="shared" si="12"/>
        <v>512.5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534601.92999999993</v>
      </c>
      <c r="G289" s="42">
        <f t="shared" si="13"/>
        <v>165542.19</v>
      </c>
      <c r="H289" s="42">
        <f t="shared" si="13"/>
        <v>104077.26000000001</v>
      </c>
      <c r="I289" s="42">
        <f t="shared" si="13"/>
        <v>28745.890000000003</v>
      </c>
      <c r="J289" s="42">
        <f t="shared" si="13"/>
        <v>5053.0300000000007</v>
      </c>
      <c r="K289" s="42">
        <f t="shared" si="13"/>
        <v>113.9</v>
      </c>
      <c r="L289" s="41">
        <f t="shared" si="13"/>
        <v>838134.2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1075.75</v>
      </c>
      <c r="G294" s="18">
        <v>197.12</v>
      </c>
      <c r="H294" s="18">
        <v>1712.36</v>
      </c>
      <c r="I294" s="18">
        <v>3435.72</v>
      </c>
      <c r="J294" s="18">
        <v>5961.28</v>
      </c>
      <c r="K294" s="18">
        <v>355</v>
      </c>
      <c r="L294" s="19">
        <f>SUM(F294:K294)</f>
        <v>12737.23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31420.29</v>
      </c>
      <c r="G297" s="18">
        <v>7941.03</v>
      </c>
      <c r="H297" s="18">
        <v>25442.92</v>
      </c>
      <c r="I297" s="18">
        <v>3506.44</v>
      </c>
      <c r="J297" s="18"/>
      <c r="K297" s="18">
        <v>56.1</v>
      </c>
      <c r="L297" s="19">
        <f>SUM(F297:K297)</f>
        <v>68366.78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11141.65</v>
      </c>
      <c r="G299" s="18">
        <v>3923.65</v>
      </c>
      <c r="H299" s="18">
        <v>6934.95</v>
      </c>
      <c r="I299" s="18"/>
      <c r="J299" s="18"/>
      <c r="K299" s="18"/>
      <c r="L299" s="19">
        <f t="shared" ref="L299:L305" si="14">SUM(F299:K299)</f>
        <v>22000.25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22142.560000000001</v>
      </c>
      <c r="G300" s="18">
        <v>4291.46</v>
      </c>
      <c r="H300" s="18">
        <v>8296.58</v>
      </c>
      <c r="I300" s="18">
        <v>1588.25</v>
      </c>
      <c r="J300" s="18">
        <v>174.92</v>
      </c>
      <c r="K300" s="18"/>
      <c r="L300" s="19">
        <f t="shared" si="14"/>
        <v>36493.769999999997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737.5</v>
      </c>
      <c r="I305" s="18"/>
      <c r="J305" s="18"/>
      <c r="K305" s="18"/>
      <c r="L305" s="19">
        <f t="shared" si="14"/>
        <v>737.5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65780.25</v>
      </c>
      <c r="G308" s="42">
        <f t="shared" si="15"/>
        <v>16353.259999999998</v>
      </c>
      <c r="H308" s="42">
        <f t="shared" si="15"/>
        <v>43124.31</v>
      </c>
      <c r="I308" s="42">
        <f t="shared" si="15"/>
        <v>8530.41</v>
      </c>
      <c r="J308" s="42">
        <f t="shared" si="15"/>
        <v>6136.2</v>
      </c>
      <c r="K308" s="42">
        <f t="shared" si="15"/>
        <v>411.1</v>
      </c>
      <c r="L308" s="41">
        <f t="shared" si="15"/>
        <v>140335.53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1280</v>
      </c>
      <c r="G313" s="18">
        <v>233.52</v>
      </c>
      <c r="H313" s="18">
        <v>0</v>
      </c>
      <c r="I313" s="18">
        <v>0</v>
      </c>
      <c r="J313" s="18">
        <v>0</v>
      </c>
      <c r="K313" s="18"/>
      <c r="L313" s="19">
        <f>SUM(F313:K313)</f>
        <v>1513.52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68353</v>
      </c>
      <c r="G314" s="18">
        <v>13542.87</v>
      </c>
      <c r="H314" s="18"/>
      <c r="I314" s="18"/>
      <c r="J314" s="18"/>
      <c r="K314" s="18"/>
      <c r="L314" s="19">
        <f>SUM(F314:K314)</f>
        <v>81895.87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16206.04</v>
      </c>
      <c r="G318" s="18">
        <v>5707.12</v>
      </c>
      <c r="H318" s="18">
        <v>12087.2</v>
      </c>
      <c r="I318" s="18"/>
      <c r="J318" s="18"/>
      <c r="K318" s="18"/>
      <c r="L318" s="19">
        <f t="shared" ref="L318:L324" si="16">SUM(F318:K318)</f>
        <v>34000.36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32207.35</v>
      </c>
      <c r="G319" s="18">
        <v>6242.11</v>
      </c>
      <c r="H319" s="18">
        <v>12067.76</v>
      </c>
      <c r="I319" s="18">
        <v>2310.19</v>
      </c>
      <c r="J319" s="18">
        <v>254.44</v>
      </c>
      <c r="K319" s="18"/>
      <c r="L319" s="19">
        <f t="shared" si="16"/>
        <v>53081.850000000006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118046.39000000001</v>
      </c>
      <c r="G327" s="42">
        <f t="shared" si="17"/>
        <v>25725.620000000003</v>
      </c>
      <c r="H327" s="42">
        <f t="shared" si="17"/>
        <v>24154.959999999999</v>
      </c>
      <c r="I327" s="42">
        <f t="shared" si="17"/>
        <v>2310.19</v>
      </c>
      <c r="J327" s="42">
        <f t="shared" si="17"/>
        <v>254.44</v>
      </c>
      <c r="K327" s="42">
        <f t="shared" si="17"/>
        <v>0</v>
      </c>
      <c r="L327" s="41">
        <f t="shared" si="17"/>
        <v>170491.6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7536.9</v>
      </c>
      <c r="G331" s="18">
        <v>2490.9899999999998</v>
      </c>
      <c r="H331" s="18">
        <v>2260</v>
      </c>
      <c r="I331" s="18">
        <v>588.9</v>
      </c>
      <c r="J331" s="18"/>
      <c r="K331" s="18"/>
      <c r="L331" s="19">
        <f t="shared" ref="L331:L336" si="18">SUM(F331:K331)</f>
        <v>12876.789999999999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7019.83</v>
      </c>
      <c r="G332" s="18">
        <v>459.1</v>
      </c>
      <c r="H332" s="18"/>
      <c r="I332" s="18"/>
      <c r="J332" s="18"/>
      <c r="K332" s="18"/>
      <c r="L332" s="19">
        <f t="shared" si="18"/>
        <v>7478.93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14556.73</v>
      </c>
      <c r="G336" s="41">
        <f t="shared" si="19"/>
        <v>2950.0899999999997</v>
      </c>
      <c r="H336" s="41">
        <f t="shared" si="19"/>
        <v>2260</v>
      </c>
      <c r="I336" s="41">
        <f t="shared" si="19"/>
        <v>588.9</v>
      </c>
      <c r="J336" s="41">
        <f t="shared" si="19"/>
        <v>0</v>
      </c>
      <c r="K336" s="41">
        <f t="shared" si="19"/>
        <v>0</v>
      </c>
      <c r="L336" s="41">
        <f t="shared" si="18"/>
        <v>20355.72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732985.29999999993</v>
      </c>
      <c r="G337" s="41">
        <f t="shared" si="20"/>
        <v>210571.16</v>
      </c>
      <c r="H337" s="41">
        <f t="shared" si="20"/>
        <v>173616.53</v>
      </c>
      <c r="I337" s="41">
        <f t="shared" si="20"/>
        <v>40175.390000000007</v>
      </c>
      <c r="J337" s="41">
        <f t="shared" si="20"/>
        <v>11443.67</v>
      </c>
      <c r="K337" s="41">
        <f t="shared" si="20"/>
        <v>525</v>
      </c>
      <c r="L337" s="41">
        <f t="shared" si="20"/>
        <v>1169317.05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15764.69</v>
      </c>
      <c r="L343" s="19">
        <f t="shared" ref="L343:L349" si="21">SUM(F343:K343)</f>
        <v>15764.69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15764.69</v>
      </c>
      <c r="L350" s="41">
        <f>SUM(L340:L349)</f>
        <v>15764.69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732985.29999999993</v>
      </c>
      <c r="G351" s="41">
        <f>G337</f>
        <v>210571.16</v>
      </c>
      <c r="H351" s="41">
        <f>H337</f>
        <v>173616.53</v>
      </c>
      <c r="I351" s="41">
        <f>I337</f>
        <v>40175.390000000007</v>
      </c>
      <c r="J351" s="41">
        <f>J337</f>
        <v>11443.67</v>
      </c>
      <c r="K351" s="47">
        <f>K337+K350</f>
        <v>16289.69</v>
      </c>
      <c r="L351" s="41">
        <f>L337+L350</f>
        <v>1185081.74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2371.88</v>
      </c>
      <c r="G357" s="18">
        <v>181.46</v>
      </c>
      <c r="H357" s="18">
        <v>269449.32</v>
      </c>
      <c r="I357" s="18">
        <v>1324.85</v>
      </c>
      <c r="J357" s="18">
        <v>5517.24</v>
      </c>
      <c r="K357" s="18">
        <v>158.13</v>
      </c>
      <c r="L357" s="13">
        <f>SUM(F357:K357)</f>
        <v>279002.88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1134.3699999999999</v>
      </c>
      <c r="G358" s="18">
        <v>86.79</v>
      </c>
      <c r="H358" s="18">
        <v>128867.07</v>
      </c>
      <c r="I358" s="18">
        <v>633.63</v>
      </c>
      <c r="J358" s="18">
        <v>2638.68</v>
      </c>
      <c r="K358" s="18">
        <v>75.63</v>
      </c>
      <c r="L358" s="19">
        <f>SUM(F358:K358)</f>
        <v>133436.17000000001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1650</v>
      </c>
      <c r="G359" s="18">
        <v>126.23</v>
      </c>
      <c r="H359" s="18">
        <v>187443</v>
      </c>
      <c r="I359" s="18">
        <v>921.64</v>
      </c>
      <c r="J359" s="18">
        <v>3838.08</v>
      </c>
      <c r="K359" s="18">
        <v>110</v>
      </c>
      <c r="L359" s="19">
        <f>SUM(F359:K359)</f>
        <v>194088.95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5156.25</v>
      </c>
      <c r="G361" s="47">
        <f t="shared" si="22"/>
        <v>394.48</v>
      </c>
      <c r="H361" s="47">
        <f t="shared" si="22"/>
        <v>585759.39</v>
      </c>
      <c r="I361" s="47">
        <f t="shared" si="22"/>
        <v>2880.12</v>
      </c>
      <c r="J361" s="47">
        <f t="shared" si="22"/>
        <v>11994</v>
      </c>
      <c r="K361" s="47">
        <f t="shared" si="22"/>
        <v>343.76</v>
      </c>
      <c r="L361" s="47">
        <f t="shared" si="22"/>
        <v>606528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1324.85</v>
      </c>
      <c r="G367" s="63">
        <v>633.63</v>
      </c>
      <c r="H367" s="63">
        <v>921.64</v>
      </c>
      <c r="I367" s="56">
        <f>SUM(F367:H367)</f>
        <v>2880.12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1324.85</v>
      </c>
      <c r="G368" s="47">
        <f>SUM(G366:G367)</f>
        <v>633.63</v>
      </c>
      <c r="H368" s="47">
        <f>SUM(H366:H367)</f>
        <v>921.64</v>
      </c>
      <c r="I368" s="47">
        <f>SUM(I366:I367)</f>
        <v>2880.12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971.91</v>
      </c>
      <c r="I387" s="18"/>
      <c r="J387" s="24" t="s">
        <v>289</v>
      </c>
      <c r="K387" s="24" t="s">
        <v>289</v>
      </c>
      <c r="L387" s="56">
        <f t="shared" si="25"/>
        <v>971.91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1486.4</v>
      </c>
      <c r="I388" s="18"/>
      <c r="J388" s="24" t="s">
        <v>289</v>
      </c>
      <c r="K388" s="24" t="s">
        <v>289</v>
      </c>
      <c r="L388" s="56">
        <f t="shared" si="25"/>
        <v>1486.4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0.43</v>
      </c>
      <c r="I391" s="18"/>
      <c r="J391" s="24" t="s">
        <v>289</v>
      </c>
      <c r="K391" s="24" t="s">
        <v>289</v>
      </c>
      <c r="L391" s="56">
        <f t="shared" si="25"/>
        <v>0.43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2458.7399999999998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2458.7399999999998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13.56</v>
      </c>
      <c r="I395" s="18"/>
      <c r="J395" s="24" t="s">
        <v>289</v>
      </c>
      <c r="K395" s="24" t="s">
        <v>289</v>
      </c>
      <c r="L395" s="56">
        <f t="shared" si="26"/>
        <v>13.56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419.12</v>
      </c>
      <c r="I396" s="18"/>
      <c r="J396" s="24" t="s">
        <v>289</v>
      </c>
      <c r="K396" s="24" t="s">
        <v>289</v>
      </c>
      <c r="L396" s="56">
        <f t="shared" si="26"/>
        <v>419.12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93000</v>
      </c>
      <c r="H399" s="18">
        <f>45955.65</f>
        <v>45955.65</v>
      </c>
      <c r="I399" s="18"/>
      <c r="J399" s="24" t="s">
        <v>289</v>
      </c>
      <c r="K399" s="24" t="s">
        <v>289</v>
      </c>
      <c r="L399" s="56">
        <f t="shared" si="26"/>
        <v>138955.65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93000</v>
      </c>
      <c r="H400" s="47">
        <f>SUM(H394:H399)</f>
        <v>46388.33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139388.32999999999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 t="s">
        <v>909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46181.69</v>
      </c>
      <c r="I402" s="18"/>
      <c r="J402" s="24" t="s">
        <v>289</v>
      </c>
      <c r="K402" s="24" t="s">
        <v>289</v>
      </c>
      <c r="L402" s="56">
        <f>SUM(F402:K402)</f>
        <v>46181.69</v>
      </c>
      <c r="M402" s="8"/>
    </row>
    <row r="403" spans="1:21" s="3" customFormat="1" ht="12" customHeight="1" x14ac:dyDescent="0.15">
      <c r="A403" s="110" t="s">
        <v>910</v>
      </c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>
        <v>1029.98</v>
      </c>
      <c r="I403" s="18"/>
      <c r="J403" s="24" t="s">
        <v>289</v>
      </c>
      <c r="K403" s="24" t="s">
        <v>289</v>
      </c>
      <c r="L403" s="56">
        <f>SUM(F403:K403)</f>
        <v>1029.98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47211.670000000006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47211.670000000006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93000</v>
      </c>
      <c r="H407" s="47">
        <f>H392+H400+H406</f>
        <v>96058.74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189058.74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>
        <v>1804.78</v>
      </c>
      <c r="I413" s="18"/>
      <c r="J413" s="18"/>
      <c r="K413" s="18"/>
      <c r="L413" s="56">
        <f t="shared" si="27"/>
        <v>1804.78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303052.5</v>
      </c>
      <c r="I414" s="18"/>
      <c r="J414" s="18">
        <v>4502</v>
      </c>
      <c r="K414" s="18"/>
      <c r="L414" s="56">
        <f t="shared" si="27"/>
        <v>307554.5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>
        <v>0.79</v>
      </c>
      <c r="I417" s="18"/>
      <c r="J417" s="18"/>
      <c r="K417" s="18"/>
      <c r="L417" s="56">
        <f t="shared" si="27"/>
        <v>0.79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304858.07</v>
      </c>
      <c r="I418" s="139">
        <f t="shared" si="28"/>
        <v>0</v>
      </c>
      <c r="J418" s="139">
        <f t="shared" si="28"/>
        <v>4502</v>
      </c>
      <c r="K418" s="139">
        <f t="shared" si="28"/>
        <v>0</v>
      </c>
      <c r="L418" s="47">
        <f t="shared" si="28"/>
        <v>309360.07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25.16</v>
      </c>
      <c r="I421" s="18"/>
      <c r="J421" s="18"/>
      <c r="K421" s="18"/>
      <c r="L421" s="56">
        <f t="shared" si="29"/>
        <v>25.16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778.25</v>
      </c>
      <c r="I422" s="18"/>
      <c r="J422" s="18"/>
      <c r="K422" s="18"/>
      <c r="L422" s="56">
        <f t="shared" si="29"/>
        <v>778.25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227242.14</v>
      </c>
      <c r="G425" s="18">
        <v>49084.3</v>
      </c>
      <c r="H425" s="18">
        <v>7469.98</v>
      </c>
      <c r="I425" s="18"/>
      <c r="J425" s="18"/>
      <c r="K425" s="18"/>
      <c r="L425" s="56">
        <f t="shared" si="29"/>
        <v>283796.42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227242.14</v>
      </c>
      <c r="G426" s="47">
        <f t="shared" si="30"/>
        <v>49084.3</v>
      </c>
      <c r="H426" s="47">
        <f t="shared" si="30"/>
        <v>8273.39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284599.82999999996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f>12588.2</f>
        <v>12588.2</v>
      </c>
      <c r="I428" s="18"/>
      <c r="J428" s="18"/>
      <c r="K428" s="18"/>
      <c r="L428" s="56">
        <f>SUM(F428:K428)</f>
        <v>12588.2</v>
      </c>
      <c r="M428" s="68"/>
    </row>
    <row r="429" spans="1:21" s="58" customFormat="1" ht="12" customHeight="1" x14ac:dyDescent="0.15">
      <c r="A429" s="110" t="s">
        <v>910</v>
      </c>
      <c r="B429" s="6">
        <v>17</v>
      </c>
      <c r="C429" s="6">
        <v>16</v>
      </c>
      <c r="D429" s="2" t="s">
        <v>433</v>
      </c>
      <c r="E429" s="6"/>
      <c r="F429" s="18"/>
      <c r="G429" s="18"/>
      <c r="H429" s="18">
        <v>140.22999999999999</v>
      </c>
      <c r="I429" s="18"/>
      <c r="J429" s="18"/>
      <c r="K429" s="18"/>
      <c r="L429" s="56">
        <f>SUM(F429:K429)</f>
        <v>140.22999999999999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12728.43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12728.43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227242.14</v>
      </c>
      <c r="G433" s="47">
        <f t="shared" si="32"/>
        <v>49084.3</v>
      </c>
      <c r="H433" s="47">
        <f t="shared" si="32"/>
        <v>325859.89</v>
      </c>
      <c r="I433" s="47">
        <f t="shared" si="32"/>
        <v>0</v>
      </c>
      <c r="J433" s="47">
        <f t="shared" si="32"/>
        <v>4502</v>
      </c>
      <c r="K433" s="47">
        <f t="shared" si="32"/>
        <v>0</v>
      </c>
      <c r="L433" s="47">
        <f t="shared" si="32"/>
        <v>606688.32999999996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476255.83</v>
      </c>
      <c r="G439" s="18">
        <v>1190182.49</v>
      </c>
      <c r="H439" s="18">
        <f>794245.38-0.01</f>
        <v>794245.37</v>
      </c>
      <c r="I439" s="56">
        <f t="shared" si="33"/>
        <v>2460683.69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>
        <v>500</v>
      </c>
      <c r="I442" s="56">
        <f t="shared" si="33"/>
        <v>500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476255.83</v>
      </c>
      <c r="G445" s="13">
        <f>SUM(G438:G444)</f>
        <v>1190182.49</v>
      </c>
      <c r="H445" s="13">
        <f>SUM(H438:H444)</f>
        <v>794745.37</v>
      </c>
      <c r="I445" s="13">
        <f>SUM(I438:I444)</f>
        <v>2461183.69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476255.83</v>
      </c>
      <c r="G455" s="18">
        <v>1190182.49</v>
      </c>
      <c r="H455" s="18"/>
      <c r="I455" s="56">
        <f t="shared" si="34"/>
        <v>1666438.32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f>755710.32+500</f>
        <v>756210.32</v>
      </c>
      <c r="I456" s="56">
        <f t="shared" si="34"/>
        <v>756210.32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>
        <f>38535.06-0.01</f>
        <v>38535.049999999996</v>
      </c>
      <c r="I457" s="56">
        <f t="shared" si="34"/>
        <v>38535.049999999996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476255.83</v>
      </c>
      <c r="G459" s="83">
        <f>SUM(G453:G458)</f>
        <v>1190182.49</v>
      </c>
      <c r="H459" s="83">
        <f>SUM(H453:H458)</f>
        <v>794745.37</v>
      </c>
      <c r="I459" s="83">
        <f>SUM(I453:I458)</f>
        <v>2461183.69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476255.83</v>
      </c>
      <c r="G460" s="42">
        <f>G451+G459</f>
        <v>1190182.49</v>
      </c>
      <c r="H460" s="42">
        <f>H451+H459</f>
        <v>794745.37</v>
      </c>
      <c r="I460" s="42">
        <f>I451+I459</f>
        <v>2461183.69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798812.89</v>
      </c>
      <c r="G464" s="18">
        <v>364.94</v>
      </c>
      <c r="H464" s="18">
        <v>0</v>
      </c>
      <c r="I464" s="18">
        <v>0</v>
      </c>
      <c r="J464" s="18">
        <v>2878813.28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22977568.329999998</v>
      </c>
      <c r="G467" s="18">
        <v>606656.38</v>
      </c>
      <c r="H467" s="18">
        <v>1185081.74</v>
      </c>
      <c r="I467" s="18">
        <v>0</v>
      </c>
      <c r="J467" s="18">
        <v>189058.74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22977568.329999998</v>
      </c>
      <c r="G469" s="53">
        <f>SUM(G467:G468)</f>
        <v>606656.38</v>
      </c>
      <c r="H469" s="53">
        <f>SUM(H467:H468)</f>
        <v>1185081.74</v>
      </c>
      <c r="I469" s="53">
        <f>SUM(I467:I468)</f>
        <v>0</v>
      </c>
      <c r="J469" s="53">
        <f>SUM(J467:J468)</f>
        <v>189058.74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22470147.629999999</v>
      </c>
      <c r="G471" s="18">
        <v>606528</v>
      </c>
      <c r="H471" s="18">
        <v>1185081.74</v>
      </c>
      <c r="I471" s="18">
        <v>0</v>
      </c>
      <c r="J471" s="18">
        <f>606688.33</f>
        <v>606688.32999999996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22470147.629999999</v>
      </c>
      <c r="G473" s="53">
        <f>SUM(G471:G472)</f>
        <v>606528</v>
      </c>
      <c r="H473" s="53">
        <f>SUM(H471:H472)</f>
        <v>1185081.74</v>
      </c>
      <c r="I473" s="53">
        <f>SUM(I471:I472)</f>
        <v>0</v>
      </c>
      <c r="J473" s="53">
        <f>SUM(J471:J472)</f>
        <v>606688.32999999996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1306233.5899999999</v>
      </c>
      <c r="G475" s="53">
        <f>(G464+G469)- G473</f>
        <v>493.31999999994878</v>
      </c>
      <c r="H475" s="53">
        <f>(H464+H469)- H473</f>
        <v>0</v>
      </c>
      <c r="I475" s="53">
        <f>(I464+I469)- I473</f>
        <v>0</v>
      </c>
      <c r="J475" s="53">
        <f>(J464+J469)- J473</f>
        <v>2461183.6899999995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15</v>
      </c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 t="s">
        <v>913</v>
      </c>
      <c r="H490" s="155" t="s">
        <v>915</v>
      </c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914</v>
      </c>
      <c r="H491" s="155" t="s">
        <v>916</v>
      </c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1300000</v>
      </c>
      <c r="G492" s="18">
        <v>631625</v>
      </c>
      <c r="H492" s="18">
        <v>9247684</v>
      </c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3.4</v>
      </c>
      <c r="G493" s="18">
        <v>5</v>
      </c>
      <c r="H493" s="18">
        <v>5</v>
      </c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260000</v>
      </c>
      <c r="G494" s="18">
        <v>305000</v>
      </c>
      <c r="H494" s="18">
        <v>6765000</v>
      </c>
      <c r="I494" s="18"/>
      <c r="J494" s="18"/>
      <c r="K494" s="53">
        <f>SUM(F494:J494)</f>
        <v>7330000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130000</v>
      </c>
      <c r="G496" s="18">
        <v>65000</v>
      </c>
      <c r="H496" s="18">
        <v>615000</v>
      </c>
      <c r="I496" s="18"/>
      <c r="J496" s="18"/>
      <c r="K496" s="53">
        <f t="shared" si="35"/>
        <v>810000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130000</v>
      </c>
      <c r="G497" s="205">
        <v>240000</v>
      </c>
      <c r="H497" s="205">
        <v>6150000</v>
      </c>
      <c r="I497" s="205"/>
      <c r="J497" s="205"/>
      <c r="K497" s="206">
        <f t="shared" si="35"/>
        <v>6520000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2535</v>
      </c>
      <c r="G498" s="18">
        <v>24000</v>
      </c>
      <c r="H498" s="18">
        <v>1466006.26</v>
      </c>
      <c r="I498" s="18"/>
      <c r="J498" s="18"/>
      <c r="K498" s="53">
        <f t="shared" si="35"/>
        <v>1492541.26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132535</v>
      </c>
      <c r="G499" s="42">
        <f>SUM(G497:G498)</f>
        <v>264000</v>
      </c>
      <c r="H499" s="42">
        <f>SUM(H497:H498)</f>
        <v>7616006.2599999998</v>
      </c>
      <c r="I499" s="42">
        <f>SUM(I497:I498)</f>
        <v>0</v>
      </c>
      <c r="J499" s="42">
        <f>SUM(J497:J498)</f>
        <v>0</v>
      </c>
      <c r="K499" s="42">
        <f t="shared" si="35"/>
        <v>8012541.2599999998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130000</v>
      </c>
      <c r="G500" s="205">
        <v>60000</v>
      </c>
      <c r="H500" s="205">
        <v>615000</v>
      </c>
      <c r="I500" s="205"/>
      <c r="J500" s="205"/>
      <c r="K500" s="206">
        <f t="shared" si="35"/>
        <v>805000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2535</v>
      </c>
      <c r="G501" s="18">
        <v>10500</v>
      </c>
      <c r="H501" s="18">
        <v>282900</v>
      </c>
      <c r="I501" s="18"/>
      <c r="J501" s="18"/>
      <c r="K501" s="53">
        <f t="shared" si="35"/>
        <v>295935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132535</v>
      </c>
      <c r="G502" s="42">
        <f>SUM(G500:G501)</f>
        <v>70500</v>
      </c>
      <c r="H502" s="42">
        <f>SUM(H500:H501)</f>
        <v>897900</v>
      </c>
      <c r="I502" s="42">
        <f>SUM(I500:I501)</f>
        <v>0</v>
      </c>
      <c r="J502" s="42">
        <f>SUM(J500:J501)</f>
        <v>0</v>
      </c>
      <c r="K502" s="42">
        <f t="shared" si="35"/>
        <v>1100935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1572914.07</v>
      </c>
      <c r="G506" s="144"/>
      <c r="H506" s="144">
        <v>91129.8</v>
      </c>
      <c r="I506" s="144">
        <f>F506-H506</f>
        <v>1481784.27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505000</v>
      </c>
      <c r="G510" s="24" t="s">
        <v>289</v>
      </c>
      <c r="H510" s="18">
        <v>505000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124300</v>
      </c>
      <c r="G511" s="24" t="s">
        <v>289</v>
      </c>
      <c r="H511" s="18">
        <v>131796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24198312.120000001</v>
      </c>
      <c r="G512" s="24" t="s">
        <v>289</v>
      </c>
      <c r="H512" s="18">
        <v>25006752.120000001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1010232.31</v>
      </c>
      <c r="G513" s="24" t="s">
        <v>289</v>
      </c>
      <c r="H513" s="18">
        <f>987606.19+65918</f>
        <v>1053524.19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25837844.43</v>
      </c>
      <c r="G516" s="42">
        <f>SUM(G510:G515)</f>
        <v>0</v>
      </c>
      <c r="H516" s="42">
        <f>SUM(H510:H515)</f>
        <v>26697072.310000002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1092864.48+69855.64-0.02</f>
        <v>1162720.0999999999</v>
      </c>
      <c r="G520" s="18">
        <f>459953.69+20665.79</f>
        <v>480619.48</v>
      </c>
      <c r="H520" s="18">
        <f>107871.82+782</f>
        <v>108653.82</v>
      </c>
      <c r="I520" s="18">
        <f>14393.76+230.92</f>
        <v>14624.68</v>
      </c>
      <c r="J520" s="18">
        <v>912.27</v>
      </c>
      <c r="K520" s="18">
        <v>0</v>
      </c>
      <c r="L520" s="88">
        <f>SUM(F520:K520)</f>
        <v>1767530.3499999999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562279.56999999995</v>
      </c>
      <c r="G521" s="18">
        <v>290708.21000000002</v>
      </c>
      <c r="H521" s="18">
        <f>264249.34+374</f>
        <v>264623.34000000003</v>
      </c>
      <c r="I521" s="18">
        <f>7800.28+110.44</f>
        <v>7910.7199999999993</v>
      </c>
      <c r="J521" s="18">
        <v>210</v>
      </c>
      <c r="K521" s="18">
        <v>0</v>
      </c>
      <c r="L521" s="88">
        <f>SUM(F521:K521)</f>
        <v>1125731.8400000001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786610.07+68353</f>
        <v>854963.07</v>
      </c>
      <c r="G522" s="18">
        <f>323434.42+13542.87</f>
        <v>336977.29</v>
      </c>
      <c r="H522" s="18">
        <f>418138.26+544</f>
        <v>418682.26</v>
      </c>
      <c r="I522" s="18">
        <f>10057.82+160.64</f>
        <v>10218.459999999999</v>
      </c>
      <c r="J522" s="18">
        <v>404.19</v>
      </c>
      <c r="K522" s="18">
        <v>0</v>
      </c>
      <c r="L522" s="88">
        <f>SUM(F522:K522)</f>
        <v>1621245.2699999998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2579962.7399999998</v>
      </c>
      <c r="G523" s="108">
        <f t="shared" ref="G523:L523" si="36">SUM(G520:G522)</f>
        <v>1108304.98</v>
      </c>
      <c r="H523" s="108">
        <f t="shared" si="36"/>
        <v>791959.42</v>
      </c>
      <c r="I523" s="108">
        <f t="shared" si="36"/>
        <v>32753.86</v>
      </c>
      <c r="J523" s="108">
        <f t="shared" si="36"/>
        <v>1526.46</v>
      </c>
      <c r="K523" s="108">
        <f t="shared" si="36"/>
        <v>0</v>
      </c>
      <c r="L523" s="89">
        <f t="shared" si="36"/>
        <v>4514507.46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145604.52+52977.68+943.41</f>
        <v>199525.61</v>
      </c>
      <c r="G525" s="18">
        <f>60604.43+13934.48+176.3</f>
        <v>74715.210000000006</v>
      </c>
      <c r="H525" s="18">
        <f>17386.25+19330.01+28087.5</f>
        <v>64803.759999999995</v>
      </c>
      <c r="I525" s="18">
        <f>5556.77+1611.92+1140.09</f>
        <v>8308.7800000000007</v>
      </c>
      <c r="J525" s="18">
        <f>399+365.76</f>
        <v>764.76</v>
      </c>
      <c r="K525" s="18">
        <f>272.32</f>
        <v>272.32</v>
      </c>
      <c r="L525" s="88">
        <f>SUM(F525:K525)</f>
        <v>348390.44000000006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145727.26+25337.15</f>
        <v>171064.41</v>
      </c>
      <c r="G526" s="18">
        <f>60614.59+6664.32</f>
        <v>67278.91</v>
      </c>
      <c r="H526" s="18">
        <f>6113.75+9244.79</f>
        <v>15358.54</v>
      </c>
      <c r="I526" s="18">
        <f>3053.63+770.92</f>
        <v>3824.55</v>
      </c>
      <c r="J526" s="18">
        <f>174.93</f>
        <v>174.93</v>
      </c>
      <c r="K526" s="18">
        <f>130.24</f>
        <v>130.24</v>
      </c>
      <c r="L526" s="88">
        <f>SUM(F526:K526)</f>
        <v>257831.58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153173.87+36854.04+4827.99</f>
        <v>194855.9</v>
      </c>
      <c r="G527" s="18">
        <f>64670.29+9693.55+913.39</f>
        <v>75277.23</v>
      </c>
      <c r="H527" s="18">
        <f>6113.75+13446.96+125</f>
        <v>19685.71</v>
      </c>
      <c r="I527" s="18">
        <f>2940.55+1121.33+3350.16</f>
        <v>7412.04</v>
      </c>
      <c r="J527" s="18">
        <f>254.44</f>
        <v>254.44</v>
      </c>
      <c r="K527" s="18">
        <f>189.44</f>
        <v>189.44</v>
      </c>
      <c r="L527" s="88">
        <f>SUM(F527:K527)</f>
        <v>297674.76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565445.92000000004</v>
      </c>
      <c r="G528" s="89">
        <f t="shared" ref="G528:L528" si="37">SUM(G525:G527)</f>
        <v>217271.34999999998</v>
      </c>
      <c r="H528" s="89">
        <f t="shared" si="37"/>
        <v>99848.00999999998</v>
      </c>
      <c r="I528" s="89">
        <f t="shared" si="37"/>
        <v>19545.370000000003</v>
      </c>
      <c r="J528" s="89">
        <f t="shared" si="37"/>
        <v>1194.1300000000001</v>
      </c>
      <c r="K528" s="89">
        <f t="shared" si="37"/>
        <v>592</v>
      </c>
      <c r="L528" s="89">
        <f t="shared" si="37"/>
        <v>903896.78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77320.42-0.01</f>
        <v>77320.41</v>
      </c>
      <c r="G530" s="18">
        <v>25090.62</v>
      </c>
      <c r="H530" s="18">
        <v>10234.030000000001</v>
      </c>
      <c r="I530" s="18">
        <v>1521.91</v>
      </c>
      <c r="J530" s="18">
        <v>1292.26</v>
      </c>
      <c r="K530" s="18">
        <v>10449.32</v>
      </c>
      <c r="L530" s="88">
        <f>SUM(F530:K530)</f>
        <v>125908.54999999999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36979.33</v>
      </c>
      <c r="G531" s="18">
        <v>11999.86</v>
      </c>
      <c r="H531" s="18">
        <v>4894.54</v>
      </c>
      <c r="I531" s="18">
        <v>727.87</v>
      </c>
      <c r="J531" s="18">
        <v>618.04</v>
      </c>
      <c r="K531" s="18">
        <v>4997.5</v>
      </c>
      <c r="L531" s="88">
        <f>SUM(F531:K531)</f>
        <v>60217.140000000007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53788.12</v>
      </c>
      <c r="G532" s="18">
        <v>17454.34</v>
      </c>
      <c r="H532" s="18">
        <v>7119.32</v>
      </c>
      <c r="I532" s="18">
        <v>1058.72</v>
      </c>
      <c r="J532" s="18">
        <v>898.96</v>
      </c>
      <c r="K532" s="18">
        <v>7269.09</v>
      </c>
      <c r="L532" s="88">
        <f>SUM(F532:K532)</f>
        <v>87588.55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168087.86000000002</v>
      </c>
      <c r="G533" s="89">
        <f t="shared" ref="G533:L533" si="38">SUM(G530:G532)</f>
        <v>54544.819999999992</v>
      </c>
      <c r="H533" s="89">
        <f t="shared" si="38"/>
        <v>22247.89</v>
      </c>
      <c r="I533" s="89">
        <f t="shared" si="38"/>
        <v>3308.5</v>
      </c>
      <c r="J533" s="89">
        <f t="shared" si="38"/>
        <v>2809.26</v>
      </c>
      <c r="K533" s="89">
        <f t="shared" si="38"/>
        <v>22715.91</v>
      </c>
      <c r="L533" s="89">
        <f t="shared" si="38"/>
        <v>273714.24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5720.85</v>
      </c>
      <c r="I535" s="18"/>
      <c r="J535" s="18"/>
      <c r="K535" s="18"/>
      <c r="L535" s="88">
        <f>SUM(F535:K535)</f>
        <v>5720.85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2736.06</v>
      </c>
      <c r="I536" s="18"/>
      <c r="J536" s="18"/>
      <c r="K536" s="18"/>
      <c r="L536" s="88">
        <f>SUM(F536:K536)</f>
        <v>2736.06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3979.72</v>
      </c>
      <c r="I537" s="18"/>
      <c r="J537" s="18"/>
      <c r="K537" s="18"/>
      <c r="L537" s="88">
        <f>SUM(F537:K537)</f>
        <v>3979.72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12436.63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12436.63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80497.23</v>
      </c>
      <c r="I540" s="18"/>
      <c r="J540" s="18"/>
      <c r="K540" s="18"/>
      <c r="L540" s="88">
        <f>SUM(F540:K540)</f>
        <v>80497.23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146550.94</v>
      </c>
      <c r="I541" s="18"/>
      <c r="J541" s="18"/>
      <c r="K541" s="18"/>
      <c r="L541" s="88">
        <f>SUM(F541:K541)</f>
        <v>146550.94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170509.39</v>
      </c>
      <c r="I542" s="18"/>
      <c r="J542" s="18"/>
      <c r="K542" s="18"/>
      <c r="L542" s="88">
        <f>SUM(F542:K542)</f>
        <v>170509.39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397557.56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397557.56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3313496.5199999996</v>
      </c>
      <c r="G544" s="89">
        <f t="shared" ref="G544:L544" si="41">G523+G528+G533+G538+G543</f>
        <v>1380121.1500000001</v>
      </c>
      <c r="H544" s="89">
        <f t="shared" si="41"/>
        <v>1324049.51</v>
      </c>
      <c r="I544" s="89">
        <f t="shared" si="41"/>
        <v>55607.73</v>
      </c>
      <c r="J544" s="89">
        <f t="shared" si="41"/>
        <v>5529.85</v>
      </c>
      <c r="K544" s="89">
        <f t="shared" si="41"/>
        <v>23307.91</v>
      </c>
      <c r="L544" s="89">
        <f t="shared" si="41"/>
        <v>6102112.6699999999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1767530.3499999999</v>
      </c>
      <c r="G548" s="87">
        <f>L525</f>
        <v>348390.44000000006</v>
      </c>
      <c r="H548" s="87">
        <f>L530</f>
        <v>125908.54999999999</v>
      </c>
      <c r="I548" s="87">
        <f>L535</f>
        <v>5720.85</v>
      </c>
      <c r="J548" s="87">
        <f>L540</f>
        <v>80497.23</v>
      </c>
      <c r="K548" s="87">
        <f>SUM(F548:J548)</f>
        <v>2328047.42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1125731.8400000001</v>
      </c>
      <c r="G549" s="87">
        <f>L526</f>
        <v>257831.58</v>
      </c>
      <c r="H549" s="87">
        <f>L531</f>
        <v>60217.140000000007</v>
      </c>
      <c r="I549" s="87">
        <f>L536</f>
        <v>2736.06</v>
      </c>
      <c r="J549" s="87">
        <f>L541</f>
        <v>146550.94</v>
      </c>
      <c r="K549" s="87">
        <f>SUM(F549:J549)</f>
        <v>1593067.56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1621245.2699999998</v>
      </c>
      <c r="G550" s="87">
        <f>L527</f>
        <v>297674.76</v>
      </c>
      <c r="H550" s="87">
        <f>L532</f>
        <v>87588.55</v>
      </c>
      <c r="I550" s="87">
        <f>L537</f>
        <v>3979.72</v>
      </c>
      <c r="J550" s="87">
        <f>L542</f>
        <v>170509.39</v>
      </c>
      <c r="K550" s="87">
        <f>SUM(F550:J550)</f>
        <v>2180997.69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4514507.46</v>
      </c>
      <c r="G551" s="89">
        <f t="shared" si="42"/>
        <v>903896.78</v>
      </c>
      <c r="H551" s="89">
        <f t="shared" si="42"/>
        <v>273714.24</v>
      </c>
      <c r="I551" s="89">
        <f t="shared" si="42"/>
        <v>12436.63</v>
      </c>
      <c r="J551" s="89">
        <f t="shared" si="42"/>
        <v>397557.56</v>
      </c>
      <c r="K551" s="89">
        <f t="shared" si="42"/>
        <v>6102112.6699999999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23890.43</v>
      </c>
      <c r="G566" s="18">
        <v>11179.33</v>
      </c>
      <c r="H566" s="18">
        <v>1182.3599999999999</v>
      </c>
      <c r="I566" s="18">
        <v>5081.1099999999997</v>
      </c>
      <c r="J566" s="18">
        <v>448.45</v>
      </c>
      <c r="K566" s="18">
        <v>257.27</v>
      </c>
      <c r="L566" s="88">
        <f>SUM(F566:K566)</f>
        <v>42038.95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11425.86</v>
      </c>
      <c r="G567" s="18">
        <v>5346.64</v>
      </c>
      <c r="H567" s="18">
        <v>565.48</v>
      </c>
      <c r="I567" s="18">
        <v>2430.1</v>
      </c>
      <c r="J567" s="18">
        <v>214.48</v>
      </c>
      <c r="K567" s="18">
        <v>123.05</v>
      </c>
      <c r="L567" s="88">
        <f>SUM(F567:K567)</f>
        <v>20105.609999999997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16619.43</v>
      </c>
      <c r="G568" s="18">
        <v>7776.93</v>
      </c>
      <c r="H568" s="18">
        <v>8022.51</v>
      </c>
      <c r="I568" s="18">
        <v>3534.69</v>
      </c>
      <c r="J568" s="18">
        <v>311.97000000000003</v>
      </c>
      <c r="K568" s="18">
        <v>178.98</v>
      </c>
      <c r="L568" s="88">
        <f>SUM(F568:K568)</f>
        <v>36444.510000000009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51935.72</v>
      </c>
      <c r="G569" s="194">
        <f t="shared" ref="G569:L569" si="45">SUM(G566:G568)</f>
        <v>24302.9</v>
      </c>
      <c r="H569" s="194">
        <f t="shared" si="45"/>
        <v>9770.35</v>
      </c>
      <c r="I569" s="194">
        <f t="shared" si="45"/>
        <v>11045.9</v>
      </c>
      <c r="J569" s="194">
        <f t="shared" si="45"/>
        <v>974.9</v>
      </c>
      <c r="K569" s="194">
        <f t="shared" si="45"/>
        <v>559.29999999999995</v>
      </c>
      <c r="L569" s="194">
        <f t="shared" si="45"/>
        <v>98589.07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51935.72</v>
      </c>
      <c r="G570" s="89">
        <f t="shared" ref="G570:L570" si="46">G559+G564+G569</f>
        <v>24302.9</v>
      </c>
      <c r="H570" s="89">
        <f t="shared" si="46"/>
        <v>9770.35</v>
      </c>
      <c r="I570" s="89">
        <f t="shared" si="46"/>
        <v>11045.9</v>
      </c>
      <c r="J570" s="89">
        <f t="shared" si="46"/>
        <v>974.9</v>
      </c>
      <c r="K570" s="89">
        <f t="shared" si="46"/>
        <v>559.29999999999995</v>
      </c>
      <c r="L570" s="89">
        <f t="shared" si="46"/>
        <v>98589.07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7200</v>
      </c>
      <c r="I577" s="87">
        <f t="shared" si="47"/>
        <v>7200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14384</v>
      </c>
      <c r="G578" s="18"/>
      <c r="H578" s="18"/>
      <c r="I578" s="87">
        <f t="shared" si="47"/>
        <v>14384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4162.87</v>
      </c>
      <c r="G579" s="18">
        <v>132207.93</v>
      </c>
      <c r="H579" s="18">
        <v>59433.42</v>
      </c>
      <c r="I579" s="87">
        <f t="shared" si="47"/>
        <v>195804.21999999997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9266.1200000000008</v>
      </c>
      <c r="G581" s="18">
        <v>124135.1</v>
      </c>
      <c r="H581" s="18">
        <v>314742.27</v>
      </c>
      <c r="I581" s="87">
        <f t="shared" si="47"/>
        <v>448143.49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25190.560000000001</v>
      </c>
      <c r="G582" s="18"/>
      <c r="H582" s="18">
        <v>28422.1</v>
      </c>
      <c r="I582" s="87">
        <f t="shared" si="47"/>
        <v>53612.66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40661.89</v>
      </c>
      <c r="I583" s="87">
        <f t="shared" si="47"/>
        <v>40661.89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344742.13</v>
      </c>
      <c r="I590" s="18">
        <v>164876.67000000001</v>
      </c>
      <c r="J590" s="18">
        <v>239820.61</v>
      </c>
      <c r="K590" s="104">
        <f t="shared" ref="K590:K596" si="48">SUM(H590:J590)</f>
        <v>749439.41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79635.35+861.88</f>
        <v>80497.23000000001</v>
      </c>
      <c r="I591" s="18">
        <f>144692.5+1858.44</f>
        <v>146550.94</v>
      </c>
      <c r="J591" s="18">
        <f>169899.89+609.5</f>
        <v>170509.39</v>
      </c>
      <c r="K591" s="104">
        <f t="shared" si="48"/>
        <v>397557.56000000006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117530</v>
      </c>
      <c r="K592" s="104">
        <f t="shared" si="48"/>
        <v>117530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4518.79</v>
      </c>
      <c r="J593" s="18">
        <v>36198.410000000003</v>
      </c>
      <c r="K593" s="104">
        <f t="shared" si="48"/>
        <v>40717.200000000004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5116.09+4698.88</f>
        <v>9814.9700000000012</v>
      </c>
      <c r="I594" s="18">
        <v>6375.51</v>
      </c>
      <c r="J594" s="18">
        <v>3794.44</v>
      </c>
      <c r="K594" s="104">
        <f t="shared" si="48"/>
        <v>19984.920000000002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435054.32999999996</v>
      </c>
      <c r="I597" s="108">
        <f>SUM(I590:I596)</f>
        <v>322321.90999999997</v>
      </c>
      <c r="J597" s="108">
        <f>SUM(J590:J596)</f>
        <v>567852.85</v>
      </c>
      <c r="K597" s="108">
        <f>SUM(K590:K596)</f>
        <v>1325229.0900000001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65772.34</v>
      </c>
      <c r="I603" s="18">
        <v>106613.85</v>
      </c>
      <c r="J603" s="18">
        <v>136882.53</v>
      </c>
      <c r="K603" s="104">
        <f>SUM(H603:J603)</f>
        <v>309268.71999999997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65772.34</v>
      </c>
      <c r="I604" s="108">
        <f>SUM(I601:I603)</f>
        <v>106613.85</v>
      </c>
      <c r="J604" s="108">
        <f>SUM(J601:J603)</f>
        <v>136882.53</v>
      </c>
      <c r="K604" s="108">
        <f>SUM(K601:K603)</f>
        <v>309268.71999999997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83356.83</v>
      </c>
      <c r="G610" s="18">
        <v>14128.09</v>
      </c>
      <c r="H610" s="18">
        <v>2487.9499999999998</v>
      </c>
      <c r="I610" s="18">
        <v>1217.4100000000001</v>
      </c>
      <c r="J610" s="18"/>
      <c r="K610" s="18"/>
      <c r="L610" s="88">
        <f>SUM(F610:K610)</f>
        <v>101190.28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20464.830000000002</v>
      </c>
      <c r="G611" s="18">
        <v>3920.98</v>
      </c>
      <c r="H611" s="18"/>
      <c r="I611" s="18">
        <v>276.85000000000002</v>
      </c>
      <c r="J611" s="18"/>
      <c r="K611" s="18"/>
      <c r="L611" s="88">
        <f>SUM(F611:K611)</f>
        <v>24662.66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4204.09</v>
      </c>
      <c r="G612" s="18">
        <v>769.48</v>
      </c>
      <c r="H612" s="18"/>
      <c r="I612" s="18"/>
      <c r="J612" s="18"/>
      <c r="K612" s="18"/>
      <c r="L612" s="88">
        <f>SUM(F612:K612)</f>
        <v>4973.57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108025.75</v>
      </c>
      <c r="G613" s="108">
        <f t="shared" si="49"/>
        <v>18818.55</v>
      </c>
      <c r="H613" s="108">
        <f t="shared" si="49"/>
        <v>2487.9499999999998</v>
      </c>
      <c r="I613" s="108">
        <f t="shared" si="49"/>
        <v>1494.2600000000002</v>
      </c>
      <c r="J613" s="108">
        <f t="shared" si="49"/>
        <v>0</v>
      </c>
      <c r="K613" s="108">
        <f t="shared" si="49"/>
        <v>0</v>
      </c>
      <c r="L613" s="89">
        <f t="shared" si="49"/>
        <v>130826.51000000001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1496023.1500000001</v>
      </c>
      <c r="H616" s="109">
        <f>SUM(F51)</f>
        <v>1496023.1500000001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36402.569999999992</v>
      </c>
      <c r="H617" s="109">
        <f>SUM(G51)</f>
        <v>36402.57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210496.8</v>
      </c>
      <c r="H618" s="109">
        <f>SUM(H51)</f>
        <v>210496.8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2461183.69</v>
      </c>
      <c r="H620" s="109">
        <f>SUM(J51)</f>
        <v>2461183.69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1306233.5900000001</v>
      </c>
      <c r="H621" s="109">
        <f>F475</f>
        <v>1306233.5899999999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493.32</v>
      </c>
      <c r="H622" s="109">
        <f>G475</f>
        <v>493.31999999994878</v>
      </c>
      <c r="I622" s="121" t="s">
        <v>102</v>
      </c>
      <c r="J622" s="109">
        <f t="shared" si="50"/>
        <v>5.1215920393588021E-11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2461183.69</v>
      </c>
      <c r="H625" s="109">
        <f>J475</f>
        <v>2461183.6899999995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22977568.330000002</v>
      </c>
      <c r="H626" s="104">
        <f>SUM(F467)</f>
        <v>22977568.329999998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606656.38</v>
      </c>
      <c r="H627" s="104">
        <f>SUM(G467)</f>
        <v>606656.38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1185081.7400000002</v>
      </c>
      <c r="H628" s="104">
        <f>SUM(H467)</f>
        <v>1185081.74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189058.74</v>
      </c>
      <c r="H630" s="104">
        <f>SUM(J467)</f>
        <v>189058.74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22470147.630000003</v>
      </c>
      <c r="H631" s="104">
        <f>SUM(F471)</f>
        <v>22470147.629999999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1185081.74</v>
      </c>
      <c r="H632" s="104">
        <f>SUM(H471)</f>
        <v>1185081.74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2880.12</v>
      </c>
      <c r="H633" s="104">
        <f>I368</f>
        <v>2880.12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606528</v>
      </c>
      <c r="H634" s="104">
        <f>SUM(G471)</f>
        <v>606528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189058.74</v>
      </c>
      <c r="H636" s="164">
        <f>SUM(J467)</f>
        <v>189058.74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606688.32999999996</v>
      </c>
      <c r="H637" s="164">
        <f>SUM(J471)</f>
        <v>606688.32999999996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476255.83</v>
      </c>
      <c r="H638" s="104">
        <f>SUM(F460)</f>
        <v>476255.83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1190182.49</v>
      </c>
      <c r="H639" s="104">
        <f>SUM(G460)</f>
        <v>1190182.49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794745.37</v>
      </c>
      <c r="H640" s="104">
        <f>SUM(H460)</f>
        <v>794745.37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2461183.69</v>
      </c>
      <c r="H641" s="104">
        <f>SUM(I460)</f>
        <v>2461183.69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96058.74</v>
      </c>
      <c r="H643" s="104">
        <f>H407</f>
        <v>96058.74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93000</v>
      </c>
      <c r="H644" s="104">
        <f>G407</f>
        <v>93000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189058.74</v>
      </c>
      <c r="H645" s="104">
        <f>L407</f>
        <v>189058.74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1325229.0900000001</v>
      </c>
      <c r="H646" s="104">
        <f>L207+L225+L243</f>
        <v>1325229.0899999999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309268.71999999997</v>
      </c>
      <c r="H647" s="104">
        <f>(J256+J337)-(J254+J335)</f>
        <v>309268.71999999997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435054.32999999996</v>
      </c>
      <c r="H648" s="104">
        <f>H597</f>
        <v>435054.32999999996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322321.91000000003</v>
      </c>
      <c r="H649" s="104">
        <f>I597</f>
        <v>322321.90999999997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567852.85</v>
      </c>
      <c r="H650" s="104">
        <f>J597</f>
        <v>567852.85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52500</v>
      </c>
      <c r="H651" s="104">
        <f>K262+K344</f>
        <v>52500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93000</v>
      </c>
      <c r="H654" s="104">
        <f>K265+K346</f>
        <v>93000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10403647.990000002</v>
      </c>
      <c r="G659" s="19">
        <f>(L228+L308+L358)</f>
        <v>5220592.330000001</v>
      </c>
      <c r="H659" s="19">
        <f>(L246+L327+L359)</f>
        <v>7304718.6399999997</v>
      </c>
      <c r="I659" s="19">
        <f>SUM(F659:H659)</f>
        <v>22928958.960000005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136968.21540000002</v>
      </c>
      <c r="G660" s="19">
        <f>(L358/IF(SUM(L357:L359)=0,1,SUM(L357:L359))*(SUM(G96:G109)))</f>
        <v>65506.542709204361</v>
      </c>
      <c r="H660" s="19">
        <f>(L359/IF(SUM(L357:L359)=0,1,SUM(L357:L359))*(SUM(G96:G109)))</f>
        <v>95282.231890795651</v>
      </c>
      <c r="I660" s="19">
        <f>SUM(F660:H660)</f>
        <v>297756.99000000005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435566.82999999996</v>
      </c>
      <c r="G661" s="19">
        <f>(L225+L305)-(J225+J305)</f>
        <v>323059.41000000003</v>
      </c>
      <c r="H661" s="19">
        <f>(L243+L324)-(J243+J324)</f>
        <v>567852.85</v>
      </c>
      <c r="I661" s="19">
        <f>SUM(F661:H661)</f>
        <v>1326479.0899999999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219966.16999999998</v>
      </c>
      <c r="G662" s="200">
        <f>SUM(G574:G586)+SUM(I601:I603)+L611</f>
        <v>387619.54</v>
      </c>
      <c r="H662" s="200">
        <f>SUM(H574:H586)+SUM(J601:J603)+L612</f>
        <v>592315.77999999991</v>
      </c>
      <c r="I662" s="19">
        <f>SUM(F662:H662)</f>
        <v>1199901.4899999998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9611146.7746000029</v>
      </c>
      <c r="G663" s="19">
        <f>G659-SUM(G660:G662)</f>
        <v>4444406.8372907965</v>
      </c>
      <c r="H663" s="19">
        <f>H659-SUM(H660:H662)</f>
        <v>6049267.778109204</v>
      </c>
      <c r="I663" s="19">
        <f>I659-SUM(I660:I662)</f>
        <v>20104821.390000004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f>354.07+343.14</f>
        <v>697.21</v>
      </c>
      <c r="G664" s="249">
        <v>370.28</v>
      </c>
      <c r="H664" s="249">
        <v>475.07</v>
      </c>
      <c r="I664" s="19">
        <f>SUM(F664:H664)</f>
        <v>1542.56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13785.15</v>
      </c>
      <c r="G666" s="19">
        <f>ROUND(G663/G664,2)</f>
        <v>12002.83</v>
      </c>
      <c r="H666" s="19">
        <f>ROUND(H663/H664,2)</f>
        <v>12733.42</v>
      </c>
      <c r="I666" s="19">
        <f>ROUND(I663/I664,2)</f>
        <v>13033.41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-5.85</v>
      </c>
      <c r="I669" s="19">
        <f>SUM(F669:H669)</f>
        <v>-5.85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13785.15</v>
      </c>
      <c r="G671" s="19">
        <f>ROUND((G663+G668)/(G664+G669),2)</f>
        <v>12002.83</v>
      </c>
      <c r="H671" s="19">
        <f>ROUND((H663+H668)/(H664+H669),2)</f>
        <v>12892.18</v>
      </c>
      <c r="I671" s="19">
        <f>ROUND((I663+I668)/(I664+I669),2)</f>
        <v>13083.03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view="pageLayout" zoomScaleNormal="10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Jaffrey-Rindge Cooperative School District (SAU47)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5123798.42</v>
      </c>
      <c r="C9" s="230">
        <f>'DOE25'!G196+'DOE25'!G214+'DOE25'!G232+'DOE25'!G275+'DOE25'!G294+'DOE25'!G313</f>
        <v>2057152.2900000003</v>
      </c>
    </row>
    <row r="10" spans="1:3" x14ac:dyDescent="0.2">
      <c r="A10" t="s">
        <v>779</v>
      </c>
      <c r="B10" s="241">
        <v>5001382.5199999996</v>
      </c>
      <c r="C10" s="241">
        <v>2047787.47</v>
      </c>
    </row>
    <row r="11" spans="1:3" x14ac:dyDescent="0.2">
      <c r="A11" t="s">
        <v>780</v>
      </c>
      <c r="B11" s="241">
        <v>0</v>
      </c>
      <c r="C11" s="241">
        <v>0</v>
      </c>
    </row>
    <row r="12" spans="1:3" x14ac:dyDescent="0.2">
      <c r="A12" t="s">
        <v>781</v>
      </c>
      <c r="B12" s="241">
        <v>122415.9</v>
      </c>
      <c r="C12" s="241">
        <v>9364.82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5123798.42</v>
      </c>
      <c r="C13" s="232">
        <f>SUM(C10:C12)</f>
        <v>2057152.29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2750096.5900000003</v>
      </c>
      <c r="C18" s="230">
        <f>'DOE25'!G197+'DOE25'!G215+'DOE25'!G233+'DOE25'!G276+'DOE25'!G295+'DOE25'!G314</f>
        <v>1178999.57</v>
      </c>
    </row>
    <row r="19" spans="1:3" x14ac:dyDescent="0.2">
      <c r="A19" t="s">
        <v>779</v>
      </c>
      <c r="B19" s="241">
        <v>1718906.21</v>
      </c>
      <c r="C19" s="241">
        <v>759788.38</v>
      </c>
    </row>
    <row r="20" spans="1:3" x14ac:dyDescent="0.2">
      <c r="A20" t="s">
        <v>780</v>
      </c>
      <c r="B20" s="241">
        <v>735344.12</v>
      </c>
      <c r="C20" s="241">
        <v>367247.89</v>
      </c>
    </row>
    <row r="21" spans="1:3" x14ac:dyDescent="0.2">
      <c r="A21" t="s">
        <v>781</v>
      </c>
      <c r="B21" s="241">
        <f>127758.4+168087.86</f>
        <v>295846.26</v>
      </c>
      <c r="C21" s="241">
        <f>9773.52+42189.78</f>
        <v>51963.3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2750096.59</v>
      </c>
      <c r="C22" s="232">
        <f>SUM(C19:C21)</f>
        <v>1178999.57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271369.96000000002</v>
      </c>
      <c r="C27" s="235">
        <f>'DOE25'!G198+'DOE25'!G216+'DOE25'!G234+'DOE25'!G277+'DOE25'!G296+'DOE25'!G315</f>
        <v>86934.95</v>
      </c>
    </row>
    <row r="28" spans="1:3" x14ac:dyDescent="0.2">
      <c r="A28" t="s">
        <v>779</v>
      </c>
      <c r="B28" s="241">
        <v>271369.96000000002</v>
      </c>
      <c r="C28" s="241">
        <v>86934.95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271369.96000000002</v>
      </c>
      <c r="C31" s="232">
        <f>SUM(C28:C30)</f>
        <v>86934.95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348265.77999999997</v>
      </c>
      <c r="C36" s="236">
        <f>'DOE25'!G199+'DOE25'!G217+'DOE25'!G235+'DOE25'!G278+'DOE25'!G297+'DOE25'!G316</f>
        <v>63695.42</v>
      </c>
    </row>
    <row r="37" spans="1:3" x14ac:dyDescent="0.2">
      <c r="A37" t="s">
        <v>779</v>
      </c>
      <c r="B37" s="241">
        <v>156492.71</v>
      </c>
      <c r="C37" s="241">
        <v>29655.37</v>
      </c>
    </row>
    <row r="38" spans="1:3" x14ac:dyDescent="0.2">
      <c r="A38" t="s">
        <v>780</v>
      </c>
      <c r="B38" s="241">
        <v>26341.200000000001</v>
      </c>
      <c r="C38" s="241">
        <v>4333.13</v>
      </c>
    </row>
    <row r="39" spans="1:3" x14ac:dyDescent="0.2">
      <c r="A39" t="s">
        <v>781</v>
      </c>
      <c r="B39" s="241">
        <v>165431.87</v>
      </c>
      <c r="C39" s="241">
        <v>29706.92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348265.78</v>
      </c>
      <c r="C40" s="232">
        <f>SUM(C37:C39)</f>
        <v>63695.42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&amp;CSalaries-Benefits
FY2011-2012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pane="bottomLeft" activeCell="E8" sqref="E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Jaffrey-Rindge Cooperative School District (SAU47)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12719723.960000001</v>
      </c>
      <c r="D5" s="20">
        <f>SUM('DOE25'!L196:L199)+SUM('DOE25'!L214:L217)+SUM('DOE25'!L232:L235)-F5-G5</f>
        <v>12633020.360000001</v>
      </c>
      <c r="E5" s="244"/>
      <c r="F5" s="256">
        <f>SUM('DOE25'!J196:J199)+SUM('DOE25'!J214:J217)+SUM('DOE25'!J232:J235)</f>
        <v>39469.440000000002</v>
      </c>
      <c r="G5" s="53">
        <f>SUM('DOE25'!K196:K199)+SUM('DOE25'!K214:K217)+SUM('DOE25'!K232:K235)</f>
        <v>47234.16</v>
      </c>
      <c r="H5" s="260"/>
    </row>
    <row r="6" spans="1:9" x14ac:dyDescent="0.2">
      <c r="A6" s="32">
        <v>2100</v>
      </c>
      <c r="B6" t="s">
        <v>801</v>
      </c>
      <c r="C6" s="246">
        <f t="shared" si="0"/>
        <v>1448951.2399999998</v>
      </c>
      <c r="D6" s="20">
        <f>'DOE25'!L201+'DOE25'!L219+'DOE25'!L237-F6-G6</f>
        <v>1448822.2399999998</v>
      </c>
      <c r="E6" s="244"/>
      <c r="F6" s="256">
        <f>'DOE25'!J201+'DOE25'!J219+'DOE25'!J237</f>
        <v>129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581949.66</v>
      </c>
      <c r="D7" s="20">
        <f>'DOE25'!L202+'DOE25'!L220+'DOE25'!L238-F7-G7</f>
        <v>572209.4</v>
      </c>
      <c r="E7" s="244"/>
      <c r="F7" s="256">
        <f>'DOE25'!J202+'DOE25'!J220+'DOE25'!J238</f>
        <v>3936.26</v>
      </c>
      <c r="G7" s="53">
        <f>'DOE25'!K202+'DOE25'!K220+'DOE25'!K238</f>
        <v>5804</v>
      </c>
      <c r="H7" s="260"/>
    </row>
    <row r="8" spans="1:9" x14ac:dyDescent="0.2">
      <c r="A8" s="32">
        <v>2300</v>
      </c>
      <c r="B8" t="s">
        <v>802</v>
      </c>
      <c r="C8" s="246">
        <f t="shared" si="0"/>
        <v>4114.99999999996</v>
      </c>
      <c r="D8" s="244"/>
      <c r="E8" s="20">
        <f>'DOE25'!L203+'DOE25'!L221+'DOE25'!L239-F8-G8-D9-D11</f>
        <v>-5394.4500000000407</v>
      </c>
      <c r="F8" s="256">
        <f>'DOE25'!J203+'DOE25'!J221+'DOE25'!J239</f>
        <v>0</v>
      </c>
      <c r="G8" s="53">
        <f>'DOE25'!K203+'DOE25'!K221+'DOE25'!K239</f>
        <v>9509.4500000000007</v>
      </c>
      <c r="H8" s="260"/>
    </row>
    <row r="9" spans="1:9" x14ac:dyDescent="0.2">
      <c r="A9" s="32">
        <v>2310</v>
      </c>
      <c r="B9" t="s">
        <v>818</v>
      </c>
      <c r="C9" s="246">
        <f t="shared" si="0"/>
        <v>93827.199999999997</v>
      </c>
      <c r="D9" s="245">
        <v>93827.199999999997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25500</v>
      </c>
      <c r="D10" s="244"/>
      <c r="E10" s="245">
        <v>25500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217539.79</v>
      </c>
      <c r="D11" s="245">
        <v>217539.79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1225326.8399999999</v>
      </c>
      <c r="D12" s="20">
        <f>'DOE25'!L204+'DOE25'!L222+'DOE25'!L240-F12-G12</f>
        <v>1207279.0899999999</v>
      </c>
      <c r="E12" s="244"/>
      <c r="F12" s="256">
        <f>'DOE25'!J204+'DOE25'!J222+'DOE25'!J240</f>
        <v>8578.25</v>
      </c>
      <c r="G12" s="53">
        <f>'DOE25'!K204+'DOE25'!K222+'DOE25'!K240</f>
        <v>9469.5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410265.31000000006</v>
      </c>
      <c r="D13" s="244"/>
      <c r="E13" s="20">
        <f>'DOE25'!L205+'DOE25'!L223+'DOE25'!L241-F13-G13</f>
        <v>403571.81000000006</v>
      </c>
      <c r="F13" s="256">
        <f>'DOE25'!J205+'DOE25'!J223+'DOE25'!J241</f>
        <v>1428.2</v>
      </c>
      <c r="G13" s="53">
        <f>'DOE25'!K205+'DOE25'!K223+'DOE25'!K241</f>
        <v>5265.2999999999993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2422473.13</v>
      </c>
      <c r="D14" s="20">
        <f>'DOE25'!L206+'DOE25'!L224+'DOE25'!L242-F14-G14</f>
        <v>2416369.9699999997</v>
      </c>
      <c r="E14" s="244"/>
      <c r="F14" s="256">
        <f>'DOE25'!J206+'DOE25'!J224+'DOE25'!J242</f>
        <v>5873.16</v>
      </c>
      <c r="G14" s="53">
        <f>'DOE25'!K206+'DOE25'!K224+'DOE25'!K242</f>
        <v>230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1325229.0899999999</v>
      </c>
      <c r="D15" s="20">
        <f>'DOE25'!L207+'DOE25'!L225+'DOE25'!L243-F15-G15</f>
        <v>1325229.0899999999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724068.41</v>
      </c>
      <c r="D16" s="244"/>
      <c r="E16" s="20">
        <f>'DOE25'!L208+'DOE25'!L226+'DOE25'!L244-F16-G16</f>
        <v>485657.67000000004</v>
      </c>
      <c r="F16" s="256">
        <f>'DOE25'!J208+'DOE25'!J226+'DOE25'!J244</f>
        <v>238410.74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9438</v>
      </c>
      <c r="D22" s="244"/>
      <c r="E22" s="244"/>
      <c r="F22" s="256">
        <f>'DOE25'!L254+'DOE25'!L335</f>
        <v>9438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1141740</v>
      </c>
      <c r="D25" s="244"/>
      <c r="E25" s="244"/>
      <c r="F25" s="259"/>
      <c r="G25" s="257"/>
      <c r="H25" s="258">
        <f>'DOE25'!L259+'DOE25'!L260+'DOE25'!L340+'DOE25'!L341</f>
        <v>1141740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606528</v>
      </c>
      <c r="D29" s="20">
        <f>'DOE25'!L357+'DOE25'!L358+'DOE25'!L359-'DOE25'!I366-F29-G29</f>
        <v>594190.24</v>
      </c>
      <c r="E29" s="244"/>
      <c r="F29" s="256">
        <f>'DOE25'!J357+'DOE25'!J358+'DOE25'!J359</f>
        <v>11994</v>
      </c>
      <c r="G29" s="53">
        <f>'DOE25'!K357+'DOE25'!K358+'DOE25'!K359</f>
        <v>343.76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1156440.26</v>
      </c>
      <c r="D31" s="20">
        <f>'DOE25'!L289+'DOE25'!L308+'DOE25'!L327+'DOE25'!L332+'DOE25'!L333+'DOE25'!L334-F31-G31</f>
        <v>1144471.5900000001</v>
      </c>
      <c r="E31" s="244"/>
      <c r="F31" s="256">
        <f>'DOE25'!J289+'DOE25'!J308+'DOE25'!J327+'DOE25'!J332+'DOE25'!J333+'DOE25'!J334</f>
        <v>11443.67</v>
      </c>
      <c r="G31" s="53">
        <f>'DOE25'!K289+'DOE25'!K308+'DOE25'!K327+'DOE25'!K332+'DOE25'!K333+'DOE25'!K334</f>
        <v>525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21652958.969999999</v>
      </c>
      <c r="E33" s="247">
        <f>SUM(E5:E31)</f>
        <v>909335.03</v>
      </c>
      <c r="F33" s="247">
        <f>SUM(F5:F31)</f>
        <v>330700.71999999997</v>
      </c>
      <c r="G33" s="247">
        <f>SUM(G5:G31)</f>
        <v>78381.17</v>
      </c>
      <c r="H33" s="247">
        <f>SUM(H5:H31)</f>
        <v>1141740</v>
      </c>
    </row>
    <row r="35" spans="2:8" ht="12" thickBot="1" x14ac:dyDescent="0.25">
      <c r="B35" s="254" t="s">
        <v>847</v>
      </c>
      <c r="D35" s="255">
        <f>E33</f>
        <v>909335.03</v>
      </c>
      <c r="E35" s="250"/>
    </row>
    <row r="36" spans="2:8" ht="12" thickTop="1" x14ac:dyDescent="0.2">
      <c r="B36" t="s">
        <v>815</v>
      </c>
      <c r="D36" s="20">
        <f>D33</f>
        <v>21652958.969999999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67" sqref="C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 (SAU47)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626018.35</v>
      </c>
      <c r="D8" s="95">
        <f>'DOE25'!G9</f>
        <v>1929.94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2460683.69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623247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180867.24</v>
      </c>
      <c r="D11" s="95">
        <f>'DOE25'!G12</f>
        <v>23267.69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35745.06</v>
      </c>
      <c r="D12" s="95">
        <f>'DOE25'!G13</f>
        <v>11088.49</v>
      </c>
      <c r="E12" s="95">
        <f>'DOE25'!H13</f>
        <v>210496.8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5100</v>
      </c>
      <c r="D13" s="95">
        <f>'DOE25'!G14</f>
        <v>116.45</v>
      </c>
      <c r="E13" s="95">
        <f>'DOE25'!H14</f>
        <v>0</v>
      </c>
      <c r="F13" s="95">
        <f>'DOE25'!I14</f>
        <v>0</v>
      </c>
      <c r="G13" s="95">
        <f>'DOE25'!J14</f>
        <v>500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25045.5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1496023.1500000001</v>
      </c>
      <c r="D18" s="41">
        <f>SUM(D8:D17)</f>
        <v>36402.569999999992</v>
      </c>
      <c r="E18" s="41">
        <f>SUM(E8:E17)</f>
        <v>210496.8</v>
      </c>
      <c r="F18" s="41">
        <f>SUM(F8:F17)</f>
        <v>0</v>
      </c>
      <c r="G18" s="41">
        <f>SUM(G8:G17)</f>
        <v>2461183.69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204134.93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124244.89</v>
      </c>
      <c r="D23" s="95">
        <f>'DOE25'!G24</f>
        <v>0</v>
      </c>
      <c r="E23" s="95">
        <f>'DOE25'!H24</f>
        <v>6361.87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23979.05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37505.01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28039.66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11930.2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189789.56</v>
      </c>
      <c r="D31" s="41">
        <f>SUM(D21:D30)</f>
        <v>35909.25</v>
      </c>
      <c r="E31" s="41">
        <f>SUM(E21:E30)</f>
        <v>210496.8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25045.5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756210.32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38535.049999999996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493.32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1666438.32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158251.37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225332.66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4228.05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743376.01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1306233.5900000001</v>
      </c>
      <c r="D49" s="41">
        <f>SUM(D34:D48)</f>
        <v>493.32</v>
      </c>
      <c r="E49" s="41">
        <f>SUM(E34:E48)</f>
        <v>0</v>
      </c>
      <c r="F49" s="41">
        <f>SUM(F34:F48)</f>
        <v>0</v>
      </c>
      <c r="G49" s="41">
        <f>SUM(G34:G48)</f>
        <v>2461183.69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1496023.1500000001</v>
      </c>
      <c r="D50" s="41">
        <f>D49+D31</f>
        <v>36402.57</v>
      </c>
      <c r="E50" s="41">
        <f>E49+E31</f>
        <v>210496.8</v>
      </c>
      <c r="F50" s="41">
        <f>F49+F31</f>
        <v>0</v>
      </c>
      <c r="G50" s="41">
        <f>G49+G31</f>
        <v>2461183.69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14274457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29660.06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1807.96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96058.74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297756.99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82675.340000000011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114143.36000000002</v>
      </c>
      <c r="D61" s="130">
        <f>SUM(D56:D60)</f>
        <v>297756.99</v>
      </c>
      <c r="E61" s="130">
        <f>SUM(E56:E60)</f>
        <v>0</v>
      </c>
      <c r="F61" s="130">
        <f>SUM(F56:F60)</f>
        <v>0</v>
      </c>
      <c r="G61" s="130">
        <f>SUM(G56:G60)</f>
        <v>96058.74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14388600.359999999</v>
      </c>
      <c r="D62" s="22">
        <f>D55+D61</f>
        <v>297756.99</v>
      </c>
      <c r="E62" s="22">
        <f>E55+E61</f>
        <v>0</v>
      </c>
      <c r="F62" s="22">
        <f>F55+F61</f>
        <v>0</v>
      </c>
      <c r="G62" s="22">
        <f>G55+G61</f>
        <v>96058.74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5170957.71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2418805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4480.29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19110.849999999999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7613353.8499999996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373098.17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257662.85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5948.58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7511.14</v>
      </c>
      <c r="E76" s="95">
        <f>SUM('DOE25'!H130:H134)</f>
        <v>7845.27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636709.6</v>
      </c>
      <c r="D77" s="130">
        <f>SUM(D71:D76)</f>
        <v>7511.14</v>
      </c>
      <c r="E77" s="130">
        <f>SUM(E71:E76)</f>
        <v>7845.27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8250063.4499999993</v>
      </c>
      <c r="D80" s="130">
        <f>SUM(D78:D79)+D77+D69</f>
        <v>7511.14</v>
      </c>
      <c r="E80" s="130">
        <f>SUM(E78:E79)+E77+E69</f>
        <v>7845.27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323139.83</v>
      </c>
      <c r="D87" s="95">
        <f>SUM('DOE25'!G152:G160)</f>
        <v>248888.25</v>
      </c>
      <c r="E87" s="95">
        <f>SUM('DOE25'!H152:H160)</f>
        <v>1177236.4700000002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323139.83</v>
      </c>
      <c r="D90" s="131">
        <f>SUM(D84:D89)</f>
        <v>248888.25</v>
      </c>
      <c r="E90" s="131">
        <f>SUM(E84:E89)</f>
        <v>1177236.4700000002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52500</v>
      </c>
      <c r="E95" s="95">
        <f>'DOE25'!H178</f>
        <v>0</v>
      </c>
      <c r="F95" s="95">
        <f>'DOE25'!I178</f>
        <v>0</v>
      </c>
      <c r="G95" s="95">
        <f>'DOE25'!J178</f>
        <v>93000</v>
      </c>
    </row>
    <row r="96" spans="1:9" x14ac:dyDescent="0.2">
      <c r="A96" t="s">
        <v>758</v>
      </c>
      <c r="B96" s="32" t="s">
        <v>188</v>
      </c>
      <c r="C96" s="95">
        <f>SUM('DOE25'!F179:F180)</f>
        <v>15764.69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15764.69</v>
      </c>
      <c r="D102" s="86">
        <f>SUM(D92:D101)</f>
        <v>52500</v>
      </c>
      <c r="E102" s="86">
        <f>SUM(E92:E101)</f>
        <v>0</v>
      </c>
      <c r="F102" s="86">
        <f>SUM(F92:F101)</f>
        <v>0</v>
      </c>
      <c r="G102" s="86">
        <f>SUM(G92:G101)</f>
        <v>93000</v>
      </c>
    </row>
    <row r="103" spans="1:7" ht="12.75" thickTop="1" thickBot="1" x14ac:dyDescent="0.25">
      <c r="A103" s="33" t="s">
        <v>765</v>
      </c>
      <c r="C103" s="86">
        <f>C62+C80+C90+C102</f>
        <v>22977568.329999998</v>
      </c>
      <c r="D103" s="86">
        <f>D62+D80+D90+D102</f>
        <v>606656.38</v>
      </c>
      <c r="E103" s="86">
        <f>E62+E80+E90+E102</f>
        <v>1185081.7400000002</v>
      </c>
      <c r="F103" s="86">
        <f>F62+F80+F90+F102</f>
        <v>0</v>
      </c>
      <c r="G103" s="86">
        <f>G62+G80+G102</f>
        <v>189058.74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7300361.1600000001</v>
      </c>
      <c r="D108" s="24" t="s">
        <v>289</v>
      </c>
      <c r="E108" s="95">
        <f>('DOE25'!L275)+('DOE25'!L294)+('DOE25'!L313)</f>
        <v>380824.65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4651146.82</v>
      </c>
      <c r="D109" s="24" t="s">
        <v>289</v>
      </c>
      <c r="E109" s="95">
        <f>('DOE25'!L276)+('DOE25'!L295)+('DOE25'!L314)</f>
        <v>172417.3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429915.08000000007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338300.9</v>
      </c>
      <c r="D111" s="24" t="s">
        <v>289</v>
      </c>
      <c r="E111" s="95">
        <f>+('DOE25'!L278)+('DOE25'!L297)+('DOE25'!L316)</f>
        <v>241259.63999999998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12876.789999999999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7478.93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12719723.960000001</v>
      </c>
      <c r="D114" s="86">
        <f>SUM(D108:D113)</f>
        <v>0</v>
      </c>
      <c r="E114" s="86">
        <f>SUM(E108:E113)</f>
        <v>814857.31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1448951.2399999998</v>
      </c>
      <c r="D117" s="24" t="s">
        <v>289</v>
      </c>
      <c r="E117" s="95">
        <f>+('DOE25'!L280)+('DOE25'!L299)+('DOE25'!L318)</f>
        <v>132738.49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581949.66</v>
      </c>
      <c r="D118" s="24" t="s">
        <v>289</v>
      </c>
      <c r="E118" s="95">
        <f>+('DOE25'!L281)+('DOE25'!L300)+('DOE25'!L319)</f>
        <v>220471.25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315481.99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1225326.8399999999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410265.31000000006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2422473.13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1325229.0899999999</v>
      </c>
      <c r="D123" s="24" t="s">
        <v>289</v>
      </c>
      <c r="E123" s="95">
        <f>+('DOE25'!L286)+('DOE25'!L305)+('DOE25'!L324)</f>
        <v>1250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724068.41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606528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8453745.6699999999</v>
      </c>
      <c r="D127" s="86">
        <f>SUM(D117:D126)</f>
        <v>606528</v>
      </c>
      <c r="E127" s="86">
        <f>SUM(E117:E126)</f>
        <v>354459.74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9438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810000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331740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15764.69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52500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2458.7399999999998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139388.32999999999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47211.670000000006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-96058.739999999991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1296678</v>
      </c>
      <c r="D143" s="141">
        <f>SUM(D129:D142)</f>
        <v>0</v>
      </c>
      <c r="E143" s="141">
        <f>SUM(E129:E142)</f>
        <v>15764.69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22470147.630000003</v>
      </c>
      <c r="D144" s="86">
        <f>(D114+D127+D143)</f>
        <v>606528</v>
      </c>
      <c r="E144" s="86">
        <f>(E114+E127+E143)</f>
        <v>1185081.74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15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11/02</v>
      </c>
      <c r="C151" s="152" t="str">
        <f>'DOE25'!G490</f>
        <v>7/05</v>
      </c>
      <c r="D151" s="152" t="str">
        <f>'DOE25'!H490</f>
        <v>7/06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11/12</v>
      </c>
      <c r="C152" s="152" t="str">
        <f>'DOE25'!G491</f>
        <v>8/15</v>
      </c>
      <c r="D152" s="152" t="str">
        <f>'DOE25'!H491</f>
        <v>8/21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1300000</v>
      </c>
      <c r="C153" s="137">
        <f>'DOE25'!G492</f>
        <v>631625</v>
      </c>
      <c r="D153" s="137">
        <f>'DOE25'!H492</f>
        <v>9247684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3.4</v>
      </c>
      <c r="C154" s="137">
        <f>'DOE25'!G493</f>
        <v>5</v>
      </c>
      <c r="D154" s="137">
        <f>'DOE25'!H493</f>
        <v>5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260000</v>
      </c>
      <c r="C155" s="137">
        <f>'DOE25'!G494</f>
        <v>305000</v>
      </c>
      <c r="D155" s="137">
        <f>'DOE25'!H494</f>
        <v>6765000</v>
      </c>
      <c r="E155" s="137">
        <f>'DOE25'!I494</f>
        <v>0</v>
      </c>
      <c r="F155" s="137">
        <f>'DOE25'!J494</f>
        <v>0</v>
      </c>
      <c r="G155" s="138">
        <f>SUM(B155:F155)</f>
        <v>7330000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130000</v>
      </c>
      <c r="C157" s="137">
        <f>'DOE25'!G496</f>
        <v>65000</v>
      </c>
      <c r="D157" s="137">
        <f>'DOE25'!H496</f>
        <v>615000</v>
      </c>
      <c r="E157" s="137">
        <f>'DOE25'!I496</f>
        <v>0</v>
      </c>
      <c r="F157" s="137">
        <f>'DOE25'!J496</f>
        <v>0</v>
      </c>
      <c r="G157" s="138">
        <f t="shared" si="0"/>
        <v>810000</v>
      </c>
    </row>
    <row r="158" spans="1:9" x14ac:dyDescent="0.2">
      <c r="A158" s="22" t="s">
        <v>35</v>
      </c>
      <c r="B158" s="137">
        <f>'DOE25'!F497</f>
        <v>130000</v>
      </c>
      <c r="C158" s="137">
        <f>'DOE25'!G497</f>
        <v>240000</v>
      </c>
      <c r="D158" s="137">
        <f>'DOE25'!H497</f>
        <v>6150000</v>
      </c>
      <c r="E158" s="137">
        <f>'DOE25'!I497</f>
        <v>0</v>
      </c>
      <c r="F158" s="137">
        <f>'DOE25'!J497</f>
        <v>0</v>
      </c>
      <c r="G158" s="138">
        <f t="shared" si="0"/>
        <v>6520000</v>
      </c>
    </row>
    <row r="159" spans="1:9" x14ac:dyDescent="0.2">
      <c r="A159" s="22" t="s">
        <v>36</v>
      </c>
      <c r="B159" s="137">
        <f>'DOE25'!F498</f>
        <v>2535</v>
      </c>
      <c r="C159" s="137">
        <f>'DOE25'!G498</f>
        <v>24000</v>
      </c>
      <c r="D159" s="137">
        <f>'DOE25'!H498</f>
        <v>1466006.26</v>
      </c>
      <c r="E159" s="137">
        <f>'DOE25'!I498</f>
        <v>0</v>
      </c>
      <c r="F159" s="137">
        <f>'DOE25'!J498</f>
        <v>0</v>
      </c>
      <c r="G159" s="138">
        <f t="shared" si="0"/>
        <v>1492541.26</v>
      </c>
    </row>
    <row r="160" spans="1:9" x14ac:dyDescent="0.2">
      <c r="A160" s="22" t="s">
        <v>37</v>
      </c>
      <c r="B160" s="137">
        <f>'DOE25'!F499</f>
        <v>132535</v>
      </c>
      <c r="C160" s="137">
        <f>'DOE25'!G499</f>
        <v>264000</v>
      </c>
      <c r="D160" s="137">
        <f>'DOE25'!H499</f>
        <v>7616006.2599999998</v>
      </c>
      <c r="E160" s="137">
        <f>'DOE25'!I499</f>
        <v>0</v>
      </c>
      <c r="F160" s="137">
        <f>'DOE25'!J499</f>
        <v>0</v>
      </c>
      <c r="G160" s="138">
        <f t="shared" si="0"/>
        <v>8012541.2599999998</v>
      </c>
    </row>
    <row r="161" spans="1:7" x14ac:dyDescent="0.2">
      <c r="A161" s="22" t="s">
        <v>38</v>
      </c>
      <c r="B161" s="137">
        <f>'DOE25'!F500</f>
        <v>130000</v>
      </c>
      <c r="C161" s="137">
        <f>'DOE25'!G500</f>
        <v>60000</v>
      </c>
      <c r="D161" s="137">
        <f>'DOE25'!H500</f>
        <v>615000</v>
      </c>
      <c r="E161" s="137">
        <f>'DOE25'!I500</f>
        <v>0</v>
      </c>
      <c r="F161" s="137">
        <f>'DOE25'!J500</f>
        <v>0</v>
      </c>
      <c r="G161" s="138">
        <f t="shared" si="0"/>
        <v>805000</v>
      </c>
    </row>
    <row r="162" spans="1:7" x14ac:dyDescent="0.2">
      <c r="A162" s="22" t="s">
        <v>39</v>
      </c>
      <c r="B162" s="137">
        <f>'DOE25'!F501</f>
        <v>2535</v>
      </c>
      <c r="C162" s="137">
        <f>'DOE25'!G501</f>
        <v>10500</v>
      </c>
      <c r="D162" s="137">
        <f>'DOE25'!H501</f>
        <v>282900</v>
      </c>
      <c r="E162" s="137">
        <f>'DOE25'!I501</f>
        <v>0</v>
      </c>
      <c r="F162" s="137">
        <f>'DOE25'!J501</f>
        <v>0</v>
      </c>
      <c r="G162" s="138">
        <f t="shared" si="0"/>
        <v>295935</v>
      </c>
    </row>
    <row r="163" spans="1:7" x14ac:dyDescent="0.2">
      <c r="A163" s="22" t="s">
        <v>246</v>
      </c>
      <c r="B163" s="137">
        <f>'DOE25'!F502</f>
        <v>132535</v>
      </c>
      <c r="C163" s="137">
        <f>'DOE25'!G502</f>
        <v>70500</v>
      </c>
      <c r="D163" s="137">
        <f>'DOE25'!H502</f>
        <v>897900</v>
      </c>
      <c r="E163" s="137">
        <f>'DOE25'!I502</f>
        <v>0</v>
      </c>
      <c r="F163" s="137">
        <f>'DOE25'!J502</f>
        <v>0</v>
      </c>
      <c r="G163" s="138">
        <f t="shared" si="0"/>
        <v>1100935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Jaffrey-Rindge Cooperative School District (SAU47)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13785</v>
      </c>
    </row>
    <row r="5" spans="1:4" x14ac:dyDescent="0.2">
      <c r="B5" t="s">
        <v>704</v>
      </c>
      <c r="C5" s="179">
        <f>IF('DOE25'!G664+'DOE25'!G669=0,0,ROUND('DOE25'!G671,0))</f>
        <v>12003</v>
      </c>
    </row>
    <row r="6" spans="1:4" x14ac:dyDescent="0.2">
      <c r="B6" t="s">
        <v>62</v>
      </c>
      <c r="C6" s="179">
        <f>IF('DOE25'!H664+'DOE25'!H669=0,0,ROUND('DOE25'!H671,0))</f>
        <v>12892</v>
      </c>
    </row>
    <row r="7" spans="1:4" x14ac:dyDescent="0.2">
      <c r="B7" t="s">
        <v>705</v>
      </c>
      <c r="C7" s="179">
        <f>IF('DOE25'!I664+'DOE25'!I669=0,0,ROUND('DOE25'!I671,0))</f>
        <v>13083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7681186</v>
      </c>
      <c r="D10" s="182">
        <f>ROUND((C10/$C$28)*100,1)</f>
        <v>33.4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4823564</v>
      </c>
      <c r="D11" s="182">
        <f>ROUND((C11/$C$28)*100,1)</f>
        <v>21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429915</v>
      </c>
      <c r="D12" s="182">
        <f>ROUND((C12/$C$28)*100,1)</f>
        <v>1.9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579561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1581690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802421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1039550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1225327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410265</v>
      </c>
      <c r="D19" s="182">
        <f t="shared" si="0"/>
        <v>1.8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2422473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1326479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12877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7479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331740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308771.01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22983298.010000002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9438</v>
      </c>
    </row>
    <row r="30" spans="1:4" x14ac:dyDescent="0.2">
      <c r="B30" s="187" t="s">
        <v>729</v>
      </c>
      <c r="C30" s="180">
        <f>SUM(C28:C29)</f>
        <v>22992736.010000002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810000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14274457</v>
      </c>
      <c r="D35" s="182">
        <f t="shared" ref="D35:D40" si="1">ROUND((C35/$C$41)*100,1)</f>
        <v>58.3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210202.10000000149</v>
      </c>
      <c r="D36" s="182">
        <f t="shared" si="1"/>
        <v>0.9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7594243</v>
      </c>
      <c r="D37" s="182">
        <f t="shared" si="1"/>
        <v>31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671177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1749265</v>
      </c>
      <c r="D39" s="182">
        <f t="shared" si="1"/>
        <v>7.1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24499344.100000001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7" sqref="C17:M1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Jaffrey-Rindge Cooperative School District (SAU47)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2012-09-06T21:28:49Z</cp:lastPrinted>
  <dcterms:created xsi:type="dcterms:W3CDTF">1997-12-04T19:04:30Z</dcterms:created>
  <dcterms:modified xsi:type="dcterms:W3CDTF">2012-11-21T14:52:39Z</dcterms:modified>
</cp:coreProperties>
</file>