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390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96" i="1" l="1"/>
  <c r="F109" i="1"/>
  <c r="F467" i="1"/>
  <c r="F471" i="1"/>
  <c r="F14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E109" i="2" s="1"/>
  <c r="L315" i="1"/>
  <c r="E110" i="2" s="1"/>
  <c r="L316" i="1"/>
  <c r="E111" i="2" s="1"/>
  <c r="L318" i="1"/>
  <c r="E117" i="2" s="1"/>
  <c r="L319" i="1"/>
  <c r="L320" i="1"/>
  <c r="L321" i="1"/>
  <c r="L322" i="1"/>
  <c r="L323" i="1"/>
  <c r="L324" i="1"/>
  <c r="L325" i="1"/>
  <c r="E124" i="2" s="1"/>
  <c r="L332" i="1"/>
  <c r="L333" i="1"/>
  <c r="L334" i="1"/>
  <c r="L259" i="1"/>
  <c r="L260" i="1"/>
  <c r="L340" i="1"/>
  <c r="L341" i="1"/>
  <c r="L254" i="1"/>
  <c r="L335" i="1"/>
  <c r="E129" i="2" s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D55" i="2" s="1"/>
  <c r="H59" i="1"/>
  <c r="E55" i="2" s="1"/>
  <c r="I59" i="1"/>
  <c r="F55" i="2" s="1"/>
  <c r="F78" i="1"/>
  <c r="C56" i="2" s="1"/>
  <c r="F93" i="1"/>
  <c r="C57" i="2" s="1"/>
  <c r="F110" i="1"/>
  <c r="G110" i="1"/>
  <c r="G111" i="1" s="1"/>
  <c r="H78" i="1"/>
  <c r="E56" i="2" s="1"/>
  <c r="H93" i="1"/>
  <c r="H110" i="1"/>
  <c r="I110" i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C84" i="2" s="1"/>
  <c r="F161" i="1"/>
  <c r="G146" i="1"/>
  <c r="D84" i="2" s="1"/>
  <c r="G161" i="1"/>
  <c r="H146" i="1"/>
  <c r="E84" i="2" s="1"/>
  <c r="H161" i="1"/>
  <c r="I146" i="1"/>
  <c r="I161" i="1"/>
  <c r="C19" i="10"/>
  <c r="L249" i="1"/>
  <c r="L331" i="1"/>
  <c r="L253" i="1"/>
  <c r="L267" i="1"/>
  <c r="L268" i="1"/>
  <c r="L348" i="1"/>
  <c r="L349" i="1"/>
  <c r="E142" i="2" s="1"/>
  <c r="I664" i="1"/>
  <c r="I669" i="1"/>
  <c r="L228" i="1"/>
  <c r="G661" i="1"/>
  <c r="I668" i="1"/>
  <c r="C5" i="10"/>
  <c r="C4" i="10"/>
  <c r="C42" i="10"/>
  <c r="L373" i="1"/>
  <c r="L374" i="1"/>
  <c r="L375" i="1"/>
  <c r="L376" i="1"/>
  <c r="L377" i="1"/>
  <c r="L378" i="1"/>
  <c r="L379" i="1"/>
  <c r="B2" i="10"/>
  <c r="L343" i="1"/>
  <c r="L344" i="1"/>
  <c r="L345" i="1"/>
  <c r="E136" i="2" s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9" i="2"/>
  <c r="C111" i="2"/>
  <c r="C112" i="2"/>
  <c r="E112" i="2"/>
  <c r="D114" i="2"/>
  <c r="F114" i="2"/>
  <c r="G114" i="2"/>
  <c r="E118" i="2"/>
  <c r="E119" i="2"/>
  <c r="E120" i="2"/>
  <c r="E121" i="2"/>
  <c r="E122" i="2"/>
  <c r="E123" i="2"/>
  <c r="F127" i="2"/>
  <c r="G127" i="2"/>
  <c r="C129" i="2"/>
  <c r="F129" i="2"/>
  <c r="D133" i="2"/>
  <c r="D143" i="2" s="1"/>
  <c r="F133" i="2"/>
  <c r="K418" i="1"/>
  <c r="K426" i="1"/>
  <c r="K432" i="1"/>
  <c r="L262" i="1"/>
  <c r="C134" i="2" s="1"/>
  <c r="E134" i="2"/>
  <c r="L263" i="1"/>
  <c r="C135" i="2" s="1"/>
  <c r="L264" i="1"/>
  <c r="C136" i="2" s="1"/>
  <c r="C141" i="2"/>
  <c r="E141" i="2"/>
  <c r="C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G619" i="1" s="1"/>
  <c r="F32" i="1"/>
  <c r="G32" i="1"/>
  <c r="H32" i="1"/>
  <c r="I32" i="1"/>
  <c r="F50" i="1"/>
  <c r="G50" i="1"/>
  <c r="H50" i="1"/>
  <c r="G623" i="1" s="1"/>
  <c r="I50" i="1"/>
  <c r="G624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K337" i="1" s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H642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F451" i="1"/>
  <c r="G451" i="1"/>
  <c r="H451" i="1"/>
  <c r="H460" i="1" s="1"/>
  <c r="H640" i="1" s="1"/>
  <c r="F459" i="1"/>
  <c r="G459" i="1"/>
  <c r="H459" i="1"/>
  <c r="F460" i="1"/>
  <c r="H638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7" i="1"/>
  <c r="G618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G640" i="1"/>
  <c r="G642" i="1"/>
  <c r="G643" i="1"/>
  <c r="G649" i="1"/>
  <c r="G651" i="1"/>
  <c r="H651" i="1"/>
  <c r="G652" i="1"/>
  <c r="H652" i="1"/>
  <c r="G653" i="1"/>
  <c r="H653" i="1"/>
  <c r="H654" i="1"/>
  <c r="L255" i="1"/>
  <c r="G163" i="2"/>
  <c r="C26" i="10"/>
  <c r="L289" i="1"/>
  <c r="G8" i="2"/>
  <c r="D18" i="13"/>
  <c r="C18" i="13" s="1"/>
  <c r="D17" i="13"/>
  <c r="C17" i="13" s="1"/>
  <c r="G80" i="2"/>
  <c r="F61" i="2"/>
  <c r="G156" i="2"/>
  <c r="G160" i="2"/>
  <c r="F90" i="2"/>
  <c r="D19" i="13"/>
  <c r="C19" i="13" s="1"/>
  <c r="E13" i="13"/>
  <c r="C13" i="13" s="1"/>
  <c r="E113" i="2" l="1"/>
  <c r="F433" i="1"/>
  <c r="F256" i="1"/>
  <c r="F270" i="1" s="1"/>
  <c r="G155" i="2"/>
  <c r="F77" i="2"/>
  <c r="F80" i="2" s="1"/>
  <c r="L350" i="1"/>
  <c r="A31" i="12"/>
  <c r="C25" i="10"/>
  <c r="H660" i="1"/>
  <c r="C113" i="2"/>
  <c r="H661" i="1"/>
  <c r="F661" i="1"/>
  <c r="C20" i="10"/>
  <c r="C110" i="2"/>
  <c r="I256" i="1"/>
  <c r="I270" i="1" s="1"/>
  <c r="G162" i="2"/>
  <c r="G158" i="2"/>
  <c r="E102" i="2"/>
  <c r="F102" i="2"/>
  <c r="C32" i="10"/>
  <c r="D7" i="13"/>
  <c r="C7" i="13" s="1"/>
  <c r="A40" i="12"/>
  <c r="L613" i="1"/>
  <c r="I337" i="1"/>
  <c r="I351" i="1" s="1"/>
  <c r="C13" i="10"/>
  <c r="C10" i="10"/>
  <c r="C15" i="10"/>
  <c r="C131" i="2"/>
  <c r="C130" i="2"/>
  <c r="C121" i="2"/>
  <c r="H646" i="1"/>
  <c r="F62" i="2"/>
  <c r="F103" i="2" s="1"/>
  <c r="I368" i="1"/>
  <c r="H633" i="1" s="1"/>
  <c r="J633" i="1" s="1"/>
  <c r="G660" i="1"/>
  <c r="F660" i="1"/>
  <c r="E133" i="2"/>
  <c r="E143" i="2" s="1"/>
  <c r="K351" i="1"/>
  <c r="L327" i="1"/>
  <c r="C12" i="10"/>
  <c r="E108" i="2"/>
  <c r="E114" i="2" s="1"/>
  <c r="C21" i="10"/>
  <c r="K256" i="1"/>
  <c r="K270" i="1" s="1"/>
  <c r="E8" i="13"/>
  <c r="C8" i="13" s="1"/>
  <c r="C119" i="2"/>
  <c r="G256" i="1"/>
  <c r="G270" i="1" s="1"/>
  <c r="C16" i="10"/>
  <c r="C117" i="2"/>
  <c r="C17" i="10"/>
  <c r="C124" i="2"/>
  <c r="C18" i="10"/>
  <c r="L246" i="1"/>
  <c r="G161" i="2"/>
  <c r="G159" i="2"/>
  <c r="G157" i="2"/>
  <c r="I661" i="1"/>
  <c r="D14" i="13"/>
  <c r="C14" i="13" s="1"/>
  <c r="D29" i="13"/>
  <c r="C29" i="13" s="1"/>
  <c r="D6" i="13"/>
  <c r="C6" i="13" s="1"/>
  <c r="D15" i="13"/>
  <c r="C15" i="13" s="1"/>
  <c r="D12" i="13"/>
  <c r="C12" i="13" s="1"/>
  <c r="G650" i="1"/>
  <c r="J650" i="1" s="1"/>
  <c r="G648" i="1"/>
  <c r="J648" i="1" s="1"/>
  <c r="G644" i="1"/>
  <c r="L543" i="1"/>
  <c r="L533" i="1"/>
  <c r="L523" i="1"/>
  <c r="K499" i="1"/>
  <c r="I459" i="1"/>
  <c r="I451" i="1"/>
  <c r="I445" i="1"/>
  <c r="G641" i="1" s="1"/>
  <c r="L381" i="1"/>
  <c r="G635" i="1" s="1"/>
  <c r="J337" i="1"/>
  <c r="J351" i="1" s="1"/>
  <c r="D126" i="2"/>
  <c r="D127" i="2" s="1"/>
  <c r="D144" i="2" s="1"/>
  <c r="C123" i="2"/>
  <c r="C122" i="2"/>
  <c r="C120" i="2"/>
  <c r="C118" i="2"/>
  <c r="C108" i="2"/>
  <c r="C114" i="2" s="1"/>
  <c r="L210" i="1"/>
  <c r="F659" i="1" s="1"/>
  <c r="C24" i="10"/>
  <c r="G61" i="2"/>
  <c r="G62" i="2" s="1"/>
  <c r="C11" i="10"/>
  <c r="D102" i="2"/>
  <c r="J433" i="1"/>
  <c r="I191" i="1"/>
  <c r="K433" i="1"/>
  <c r="G133" i="2" s="1"/>
  <c r="G143" i="2" s="1"/>
  <c r="G144" i="2" s="1"/>
  <c r="D61" i="2"/>
  <c r="D62" i="2" s="1"/>
  <c r="J651" i="1"/>
  <c r="J649" i="1"/>
  <c r="H407" i="1"/>
  <c r="H643" i="1" s="1"/>
  <c r="J643" i="1" s="1"/>
  <c r="L406" i="1"/>
  <c r="C139" i="2" s="1"/>
  <c r="L361" i="1"/>
  <c r="G460" i="1"/>
  <c r="H639" i="1" s="1"/>
  <c r="J639" i="1" s="1"/>
  <c r="G102" i="2"/>
  <c r="G31" i="13"/>
  <c r="G33" i="13" s="1"/>
  <c r="G407" i="1"/>
  <c r="H644" i="1" s="1"/>
  <c r="J653" i="1"/>
  <c r="J652" i="1"/>
  <c r="F544" i="1"/>
  <c r="H433" i="1"/>
  <c r="D90" i="2"/>
  <c r="E61" i="2"/>
  <c r="E62" i="2" s="1"/>
  <c r="G168" i="1"/>
  <c r="I139" i="1"/>
  <c r="I662" i="1"/>
  <c r="A22" i="12"/>
  <c r="F31" i="13"/>
  <c r="G570" i="1"/>
  <c r="I433" i="1"/>
  <c r="G433" i="1"/>
  <c r="C18" i="2"/>
  <c r="G51" i="1"/>
  <c r="H617" i="1" s="1"/>
  <c r="J617" i="1" s="1"/>
  <c r="F51" i="1"/>
  <c r="H616" i="1" s="1"/>
  <c r="J616" i="1" s="1"/>
  <c r="F49" i="2"/>
  <c r="F31" i="2"/>
  <c r="E18" i="2"/>
  <c r="D49" i="2"/>
  <c r="D18" i="2"/>
  <c r="F191" i="1"/>
  <c r="C77" i="2"/>
  <c r="I51" i="1"/>
  <c r="H619" i="1" s="1"/>
  <c r="J619" i="1" s="1"/>
  <c r="F18" i="2"/>
  <c r="E49" i="2"/>
  <c r="E31" i="2"/>
  <c r="H51" i="1"/>
  <c r="H618" i="1" s="1"/>
  <c r="J618" i="1" s="1"/>
  <c r="G622" i="1"/>
  <c r="D31" i="2"/>
  <c r="G621" i="1"/>
  <c r="C31" i="2"/>
  <c r="I111" i="1"/>
  <c r="E90" i="2"/>
  <c r="G139" i="1"/>
  <c r="C102" i="2"/>
  <c r="C90" i="2"/>
  <c r="C69" i="2"/>
  <c r="F139" i="1"/>
  <c r="C61" i="2"/>
  <c r="C62" i="2" s="1"/>
  <c r="E77" i="2"/>
  <c r="E80" i="2" s="1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J642" i="1"/>
  <c r="J475" i="1"/>
  <c r="H625" i="1" s="1"/>
  <c r="H475" i="1"/>
  <c r="H623" i="1" s="1"/>
  <c r="J623" i="1" s="1"/>
  <c r="F475" i="1"/>
  <c r="H621" i="1" s="1"/>
  <c r="I475" i="1"/>
  <c r="H624" i="1" s="1"/>
  <c r="G475" i="1"/>
  <c r="H622" i="1" s="1"/>
  <c r="G337" i="1"/>
  <c r="G351" i="1" s="1"/>
  <c r="C23" i="10"/>
  <c r="F168" i="1"/>
  <c r="J139" i="1"/>
  <c r="F570" i="1"/>
  <c r="H256" i="1"/>
  <c r="H270" i="1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K544" i="1"/>
  <c r="J551" i="1"/>
  <c r="H551" i="1"/>
  <c r="C29" i="10"/>
  <c r="H139" i="1"/>
  <c r="L400" i="1"/>
  <c r="C138" i="2" s="1"/>
  <c r="L392" i="1"/>
  <c r="A13" i="12"/>
  <c r="F22" i="13"/>
  <c r="H25" i="13"/>
  <c r="H570" i="1"/>
  <c r="L559" i="1"/>
  <c r="J544" i="1"/>
  <c r="L336" i="1"/>
  <c r="H337" i="1"/>
  <c r="H351" i="1" s="1"/>
  <c r="F337" i="1"/>
  <c r="F351" i="1" s="1"/>
  <c r="G191" i="1"/>
  <c r="H191" i="1"/>
  <c r="E127" i="2"/>
  <c r="F551" i="1"/>
  <c r="C35" i="10"/>
  <c r="L308" i="1"/>
  <c r="D5" i="13"/>
  <c r="E16" i="13"/>
  <c r="J624" i="1"/>
  <c r="C49" i="2"/>
  <c r="J654" i="1"/>
  <c r="J192" i="1"/>
  <c r="L569" i="1"/>
  <c r="I570" i="1"/>
  <c r="I544" i="1"/>
  <c r="J635" i="1"/>
  <c r="G36" i="2"/>
  <c r="G49" i="2" s="1"/>
  <c r="J50" i="1"/>
  <c r="L564" i="1"/>
  <c r="L570" i="1" s="1"/>
  <c r="G544" i="1"/>
  <c r="H544" i="1"/>
  <c r="K550" i="1"/>
  <c r="F143" i="2"/>
  <c r="F144" i="2" s="1"/>
  <c r="I460" i="1" l="1"/>
  <c r="H641" i="1" s="1"/>
  <c r="J641" i="1" s="1"/>
  <c r="L544" i="1"/>
  <c r="K551" i="1"/>
  <c r="J646" i="1"/>
  <c r="J644" i="1"/>
  <c r="I660" i="1"/>
  <c r="F663" i="1"/>
  <c r="F666" i="1" s="1"/>
  <c r="H647" i="1"/>
  <c r="J647" i="1" s="1"/>
  <c r="H659" i="1"/>
  <c r="H663" i="1" s="1"/>
  <c r="H671" i="1" s="1"/>
  <c r="C6" i="10" s="1"/>
  <c r="E144" i="2"/>
  <c r="C127" i="2"/>
  <c r="L256" i="1"/>
  <c r="L270" i="1" s="1"/>
  <c r="G631" i="1" s="1"/>
  <c r="J631" i="1" s="1"/>
  <c r="G103" i="2"/>
  <c r="C27" i="10"/>
  <c r="C28" i="10" s="1"/>
  <c r="G634" i="1"/>
  <c r="J634" i="1" s="1"/>
  <c r="G50" i="2"/>
  <c r="L433" i="1"/>
  <c r="G637" i="1" s="1"/>
  <c r="J637" i="1" s="1"/>
  <c r="I192" i="1"/>
  <c r="G629" i="1" s="1"/>
  <c r="J629" i="1" s="1"/>
  <c r="J621" i="1"/>
  <c r="F50" i="2"/>
  <c r="D50" i="2"/>
  <c r="H192" i="1"/>
  <c r="G628" i="1" s="1"/>
  <c r="J628" i="1" s="1"/>
  <c r="D103" i="2"/>
  <c r="C80" i="2"/>
  <c r="C103" i="2" s="1"/>
  <c r="E50" i="2"/>
  <c r="J622" i="1"/>
  <c r="C50" i="2"/>
  <c r="C39" i="10"/>
  <c r="E103" i="2"/>
  <c r="G192" i="1"/>
  <c r="G627" i="1" s="1"/>
  <c r="J627" i="1" s="1"/>
  <c r="C38" i="10"/>
  <c r="C36" i="10"/>
  <c r="F192" i="1"/>
  <c r="G626" i="1" s="1"/>
  <c r="J626" i="1" s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F671" i="1" l="1"/>
  <c r="H666" i="1"/>
  <c r="C144" i="2"/>
  <c r="D17" i="10"/>
  <c r="D15" i="10"/>
  <c r="D23" i="10"/>
  <c r="D11" i="10"/>
  <c r="D26" i="10"/>
  <c r="D18" i="10"/>
  <c r="D13" i="10"/>
  <c r="D20" i="10"/>
  <c r="D10" i="10"/>
  <c r="C30" i="10"/>
  <c r="D24" i="10"/>
  <c r="D22" i="10"/>
  <c r="D25" i="10"/>
  <c r="D19" i="10"/>
  <c r="D16" i="10"/>
  <c r="D12" i="10"/>
  <c r="D21" i="10"/>
  <c r="D27" i="10"/>
  <c r="C41" i="10"/>
  <c r="D39" i="10" s="1"/>
  <c r="G636" i="1"/>
  <c r="J636" i="1" s="1"/>
  <c r="H645" i="1"/>
  <c r="J645" i="1" s="1"/>
  <c r="D33" i="13"/>
  <c r="D36" i="13" s="1"/>
  <c r="G663" i="1"/>
  <c r="I659" i="1"/>
  <c r="I663" i="1" s="1"/>
  <c r="J625" i="1"/>
  <c r="D28" i="10" l="1"/>
  <c r="H655" i="1"/>
  <c r="D36" i="10"/>
  <c r="D37" i="10"/>
  <c r="D40" i="10"/>
  <c r="D38" i="10"/>
  <c r="D35" i="10"/>
  <c r="I666" i="1"/>
  <c r="I671" i="1"/>
  <c r="C7" i="10" s="1"/>
  <c r="G671" i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<sst xmlns="http://schemas.openxmlformats.org/spreadsheetml/2006/main" count="3946" uniqueCount="913">
  <si>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</si>
  <si>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</si>
  <si>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</si>
  <si>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</si>
  <si>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</si>
  <si>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</si>
  <si>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</si>
  <si>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</si>
  <si>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</si>
  <si>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</si>
  <si>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</si>
  <si>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</si>
  <si>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</si>
  <si>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</si>
  <si>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</si>
  <si>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</si>
  <si>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</si>
  <si>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</si>
  <si>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</si>
  <si>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</si>
  <si>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</si>
  <si>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</si>
  <si>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</si>
  <si>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</si>
  <si>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</si>
  <si>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</si>
  <si>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</si>
  <si>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</si>
  <si>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</si>
  <si>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</si>
  <si>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</si>
  <si>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</si>
  <si>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</si>
  <si>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</si>
  <si>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</si>
  <si>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</si>
  <si>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</si>
  <si>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</si>
  <si>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</si>
  <si>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</si>
  <si>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</si>
  <si>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</si>
  <si>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</si>
  <si>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</si>
  <si>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</si>
  <si>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</si>
  <si>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</si>
  <si>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</si>
  <si>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</si>
  <si>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</si>
  <si>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</si>
  <si>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</si>
  <si>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</si>
  <si>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</si>
  <si>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</si>
  <si>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</si>
  <si>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</si>
  <si>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</si>
  <si>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</si>
  <si>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</si>
  <si>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</si>
  <si>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</si>
  <si>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</si>
  <si>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</si>
  <si>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</si>
  <si>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</si>
  <si>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</si>
  <si>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</si>
  <si>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</si>
  <si>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</si>
  <si>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</si>
  <si>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</si>
  <si>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</si>
  <si>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</si>
  <si>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</si>
  <si>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</si>
  <si>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</si>
  <si>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</si>
  <si>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</si>
  <si>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</si>
  <si>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</si>
  <si>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</si>
  <si>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</si>
  <si>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</si>
  <si>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</si>
  <si>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</si>
  <si>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</si>
  <si>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</si>
  <si>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</si>
  <si>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</si>
  <si>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</si>
  <si>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</si>
  <si>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</si>
  <si>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</si>
  <si>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</si>
  <si>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</si>
  <si>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</si>
  <si>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</si>
  <si>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</si>
  <si>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</si>
  <si>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</si>
  <si>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</si>
  <si>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</si>
  <si>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</si>
  <si>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</si>
  <si>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</si>
  <si>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</si>
  <si>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</si>
  <si>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</si>
  <si>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</si>
  <si>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</si>
  <si>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</si>
  <si>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</si>
  <si>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</si>
  <si>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</si>
  <si>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</si>
  <si>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</si>
  <si>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</si>
  <si>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</si>
  <si>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</si>
  <si>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</si>
  <si>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</si>
  <si>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</si>
  <si>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</si>
  <si>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</si>
  <si>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</si>
  <si>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</si>
  <si>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</si>
  <si>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</si>
  <si>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</si>
  <si>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</si>
  <si>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</si>
  <si>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</si>
  <si>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</si>
  <si>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</si>
  <si>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</si>
  <si>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</si>
  <si>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</si>
  <si>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</si>
  <si>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</si>
  <si>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</si>
  <si>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</si>
  <si>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</si>
  <si>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</si>
  <si>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</si>
  <si>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</si>
  <si>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</si>
  <si>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</si>
  <si>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</si>
  <si>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</si>
  <si>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</si>
  <si>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</si>
  <si>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</si>
  <si>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</si>
  <si>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</si>
  <si>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</si>
  <si>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</si>
  <si>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</si>
  <si>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</si>
  <si>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</si>
  <si>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</si>
  <si>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</si>
  <si>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</si>
  <si>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</si>
  <si>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</si>
  <si>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</si>
  <si>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</si>
  <si>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</si>
  <si>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</si>
  <si>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</si>
  <si>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</si>
  <si>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</si>
  <si>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</si>
  <si>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</si>
  <si>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</si>
  <si>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</si>
  <si>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</si>
  <si>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</si>
  <si>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</si>
  <si>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</si>
  <si>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</si>
  <si>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</si>
  <si>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</si>
  <si>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</si>
  <si>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</si>
  <si>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</si>
  <si>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</si>
  <si>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</si>
  <si>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</si>
  <si>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</si>
  <si>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</si>
  <si>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</si>
  <si>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</si>
  <si>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</si>
  <si>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</si>
  <si>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</si>
  <si>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</si>
  <si>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</si>
  <si>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</si>
  <si>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</si>
  <si>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</si>
  <si>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</si>
  <si>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</si>
  <si>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</si>
  <si>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</si>
  <si>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</si>
  <si>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</si>
  <si>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</si>
  <si>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</si>
  <si>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</si>
  <si>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</si>
  <si>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</si>
  <si>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</si>
  <si>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</si>
  <si>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</si>
  <si>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</si>
  <si>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</si>
  <si>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</si>
  <si>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</si>
  <si>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</si>
  <si>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</si>
  <si>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</si>
  <si>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</si>
  <si>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</si>
  <si>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</si>
  <si>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</si>
  <si>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</si>
  <si>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</si>
  <si>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</si>
  <si>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</si>
  <si>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</si>
  <si>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</si>
  <si>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</si>
  <si>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</si>
  <si>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</si>
  <si>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</si>
  <si>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</si>
  <si>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</si>
  <si>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</si>
  <si>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</si>
  <si>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</si>
  <si>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</si>
  <si>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</si>
  <si>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</si>
  <si>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</si>
  <si>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</si>
  <si>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</si>
  <si>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</si>
  <si>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</si>
  <si>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</si>
  <si>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</si>
  <si>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</si>
  <si>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</si>
  <si>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</si>
  <si>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</si>
  <si>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</si>
  <si>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</si>
  <si>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</si>
  <si>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</si>
  <si>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</si>
  <si>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</si>
  <si>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</si>
  <si>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</si>
  <si>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</si>
  <si>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</si>
  <si>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</si>
  <si>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</si>
  <si>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</si>
  <si>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</si>
  <si>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</si>
  <si>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</si>
  <si>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</si>
  <si>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</si>
  <si>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</si>
  <si>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</si>
  <si>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</si>
  <si>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</si>
  <si>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</si>
  <si>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</si>
  <si>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</si>
  <si>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</si>
  <si>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</si>
  <si>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</si>
  <si>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</si>
  <si>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</si>
  <si>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</si>
  <si>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</si>
  <si>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</si>
  <si>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</si>
  <si>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</si>
  <si>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</si>
  <si>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</si>
  <si>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</si>
  <si>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</si>
  <si>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</si>
  <si>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</si>
  <si>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</si>
  <si>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</si>
  <si>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</si>
  <si>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</si>
  <si>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</si>
  <si>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</si>
  <si>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</si>
  <si>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</si>
  <si>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</si>
  <si>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</si>
  <si>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</si>
  <si>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</si>
  <si>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</si>
  <si>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</si>
  <si>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</si>
  <si>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</si>
  <si>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</si>
  <si>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</si>
  <si>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</si>
  <si>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</si>
  <si>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</si>
  <si>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</si>
  <si>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</si>
  <si>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</si>
  <si>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</si>
  <si>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</si>
  <si>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</si>
  <si>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</si>
  <si>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</si>
  <si>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</si>
  <si>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</si>
  <si>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</si>
  <si>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</si>
  <si>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</si>
  <si>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</si>
  <si>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</si>
  <si>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</si>
  <si>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</si>
  <si>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</si>
  <si>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</si>
  <si>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</si>
  <si>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</si>
  <si>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</si>
  <si>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</si>
  <si>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</si>
  <si>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</si>
  <si>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</si>
  <si>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</si>
  <si>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</si>
  <si>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</si>
  <si>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</si>
  <si>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</si>
  <si>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</si>
  <si>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</si>
  <si>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</si>
  <si>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</si>
  <si>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</si>
  <si>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</si>
  <si>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</si>
  <si>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</si>
  <si>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</si>
  <si>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</si>
  <si>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</si>
  <si>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</si>
  <si>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</si>
  <si>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</si>
  <si>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</si>
  <si>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</si>
  <si>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</si>
  <si>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</si>
  <si>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</si>
  <si>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</si>
  <si>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</si>
  <si>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</si>
  <si>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</si>
  <si>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</si>
  <si>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</si>
  <si>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</si>
  <si>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</si>
  <si>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</si>
  <si>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</si>
  <si>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</si>
  <si>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</si>
  <si>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</si>
  <si>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</si>
  <si>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</si>
  <si>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</si>
  <si>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</si>
  <si>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</si>
  <si>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</si>
  <si>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</si>
  <si>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</si>
  <si>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</si>
  <si>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</si>
  <si>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</si>
  <si>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</si>
  <si>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</si>
  <si>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</si>
  <si>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</si>
  <si>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</si>
  <si>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</si>
  <si>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</si>
  <si>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</si>
  <si>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</si>
  <si>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</si>
  <si>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</si>
  <si>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</si>
  <si>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</si>
  <si>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</si>
  <si>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</si>
  <si>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</si>
  <si>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</si>
  <si>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</si>
  <si>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</si>
  <si>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</si>
  <si>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</si>
  <si>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</si>
  <si>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</si>
  <si>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</si>
  <si>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</si>
  <si>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</si>
  <si>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</si>
  <si>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</si>
  <si>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</si>
  <si>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</si>
  <si>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</si>
  <si>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</si>
  <si>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</si>
  <si>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</si>
  <si>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</si>
  <si>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</si>
  <si>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</si>
  <si>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</si>
  <si>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</si>
  <si>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</si>
  <si>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</si>
  <si>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</si>
  <si>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</si>
  <si>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</si>
  <si>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</si>
  <si>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</si>
  <si>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</si>
  <si>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</si>
  <si>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</si>
  <si>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</si>
  <si>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</si>
  <si>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</si>
  <si>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</si>
  <si>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</si>
  <si>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</si>
  <si>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</si>
  <si>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</si>
  <si>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</si>
  <si>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</si>
  <si>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</si>
  <si>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</si>
  <si>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</si>
  <si>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</si>
  <si>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</si>
  <si>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</si>
  <si>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</si>
  <si>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</si>
  <si>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</si>
  <si>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</si>
  <si>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</si>
  <si>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</si>
  <si>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</si>
  <si>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</si>
  <si>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</si>
  <si>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</si>
  <si>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</si>
  <si>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</si>
  <si>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</si>
  <si>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</si>
  <si>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</si>
  <si>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</si>
  <si>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</si>
  <si>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</si>
  <si>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</si>
  <si>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</si>
  <si>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</si>
  <si>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</si>
  <si>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</si>
  <si>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</si>
  <si>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</si>
  <si>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</si>
  <si>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</si>
  <si>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</si>
  <si>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</si>
  <si>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</si>
  <si>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</si>
  <si>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</si>
  <si>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</si>
  <si>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</si>
  <si>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</si>
  <si>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</si>
  <si>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</si>
  <si>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</si>
  <si>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</si>
  <si>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</si>
  <si>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</si>
  <si>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</si>
  <si>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</si>
  <si>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</si>
  <si>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</si>
  <si>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</si>
  <si>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</si>
  <si>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</si>
  <si>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</si>
  <si>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</si>
  <si>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</si>
  <si>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</si>
  <si>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</si>
  <si>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</si>
  <si>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</si>
  <si>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</si>
  <si>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</si>
  <si>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</si>
  <si>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</si>
  <si>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</si>
  <si>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</si>
  <si>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</si>
  <si>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</si>
  <si>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</si>
  <si>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</si>
  <si>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</si>
  <si>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</si>
  <si>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</si>
  <si>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</si>
  <si>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</si>
  <si>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</si>
  <si>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</si>
  <si>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</si>
  <si>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</si>
  <si>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</si>
  <si>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</si>
  <si>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</si>
  <si>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</si>
  <si>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</si>
  <si>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</si>
  <si>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</si>
  <si>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</si>
  <si>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</si>
  <si>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</si>
  <si>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</si>
  <si>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</si>
  <si>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</si>
  <si>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</si>
  <si>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</si>
  <si>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</si>
  <si>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</si>
  <si>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</si>
  <si>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</si>
  <si>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</si>
  <si>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</si>
  <si>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</si>
  <si>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</si>
  <si>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</si>
  <si>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</si>
  <si>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</si>
  <si>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</si>
  <si>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</si>
  <si>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</si>
  <si>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</si>
  <si>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</si>
  <si>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</si>
  <si>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</si>
  <si>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</si>
  <si>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</si>
  <si>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</si>
  <si>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</si>
  <si>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</si>
  <si>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</si>
  <si>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</si>
  <si>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</si>
  <si>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</si>
  <si>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</si>
  <si>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</si>
  <si>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</si>
  <si>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</si>
  <si>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</si>
  <si>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</si>
  <si>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</si>
  <si>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</si>
  <si>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</si>
  <si>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</si>
  <si>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</si>
  <si>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</si>
  <si>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</si>
  <si>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</si>
  <si>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</si>
  <si>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</si>
  <si>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</si>
  <si>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</si>
  <si>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</si>
  <si>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</si>
  <si>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</si>
  <si>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</si>
  <si>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</si>
  <si>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</si>
  <si>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</si>
  <si>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</si>
  <si>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</si>
  <si>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</si>
  <si>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</si>
  <si>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</si>
  <si>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</si>
  <si>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</si>
  <si>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</si>
  <si>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</si>
  <si>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</si>
  <si>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</si>
  <si>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</si>
  <si>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</si>
  <si>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</si>
  <si>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</si>
  <si>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</si>
  <si>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</si>
  <si>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</si>
  <si>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</si>
  <si>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</si>
  <si>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</si>
  <si>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</si>
  <si>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</si>
  <si>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</si>
  <si>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</si>
  <si>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</si>
  <si>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</si>
  <si>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</si>
  <si>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</si>
  <si>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</si>
  <si>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</si>
  <si>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</si>
  <si>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</si>
  <si>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</si>
  <si>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</si>
  <si>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</si>
  <si>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</si>
  <si>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</si>
  <si>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</si>
  <si>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</si>
  <si>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</si>
  <si>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</si>
  <si>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</si>
  <si>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</si>
  <si>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</si>
  <si>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</si>
  <si>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</si>
  <si>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</si>
  <si>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</si>
  <si>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</si>
  <si>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</si>
  <si>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</si>
  <si>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</si>
  <si>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</si>
  <si>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</si>
  <si>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</si>
  <si>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</si>
  <si>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</si>
  <si>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</si>
  <si>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</si>
  <si>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</si>
  <si>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</si>
  <si>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</si>
  <si>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</si>
  <si>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</si>
  <si>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</si>
  <si>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</si>
  <si>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</si>
  <si>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</si>
  <si>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</si>
  <si>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</si>
  <si>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</si>
  <si>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</si>
  <si>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</si>
  <si>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</si>
  <si>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</si>
  <si>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</si>
  <si>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</si>
  <si>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</si>
  <si>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</si>
  <si>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</si>
  <si>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</si>
  <si>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</si>
  <si>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</si>
  <si>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</si>
  <si>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</si>
  <si>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</si>
  <si>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</si>
  <si>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</si>
  <si>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</si>
  <si>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</si>
  <si>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</si>
  <si>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</si>
  <si>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</si>
  <si>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</si>
  <si>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</si>
  <si>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</si>
  <si>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</si>
  <si>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</si>
  <si>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</si>
  <si>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</si>
  <si>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</si>
  <si>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</si>
  <si>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</si>
  <si>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</si>
  <si>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</si>
  <si>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</si>
  <si>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</si>
  <si>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</si>
  <si>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</si>
  <si>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</si>
  <si>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</si>
  <si>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</si>
  <si>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</si>
  <si>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</si>
  <si>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</si>
  <si>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</si>
  <si>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</si>
  <si>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</si>
  <si>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</si>
  <si>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</si>
  <si>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</si>
  <si>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</si>
  <si>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</si>
  <si>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</si>
  <si>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</si>
  <si>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</si>
  <si>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</si>
  <si>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</si>
  <si>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</si>
  <si>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</si>
  <si>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</si>
  <si>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</si>
  <si>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</si>
  <si>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</si>
  <si>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</si>
  <si>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</si>
  <si>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</si>
  <si>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</si>
  <si>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</si>
  <si>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</si>
  <si>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</si>
  <si>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</si>
  <si>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</si>
  <si>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</si>
  <si>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</si>
  <si>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</si>
  <si>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</si>
  <si>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</si>
  <si>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</si>
  <si>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</si>
  <si>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</si>
  <si>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</si>
  <si>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</si>
  <si>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</si>
  <si>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</si>
  <si>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</si>
  <si>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</si>
  <si>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</si>
  <si>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</si>
  <si>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</si>
  <si>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</si>
  <si>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</si>
  <si>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</si>
  <si>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</si>
  <si>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</si>
  <si>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</si>
  <si>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</si>
  <si>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</si>
  <si>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</si>
  <si>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</si>
  <si>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</si>
  <si>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</si>
  <si>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</si>
  <si>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</si>
  <si>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</si>
  <si>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</si>
  <si>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</si>
  <si>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</si>
  <si>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</si>
  <si>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</si>
  <si>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</si>
  <si>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</si>
  <si>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</si>
  <si>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</si>
  <si>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</si>
  <si>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</si>
  <si>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</si>
  <si>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</si>
  <si>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</si>
  <si>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</si>
  <si>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</si>
  <si>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</si>
  <si>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</si>
  <si>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</si>
  <si>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</si>
  <si>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</si>
  <si>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</si>
  <si>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</si>
  <si>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</si>
  <si>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</si>
  <si>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</si>
  <si>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</si>
  <si>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</si>
  <si>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</si>
  <si>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</si>
  <si>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</si>
  <si>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</si>
  <si>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</si>
  <si>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</si>
  <si>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</si>
  <si>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</si>
  <si>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</si>
  <si>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</si>
  <si>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</si>
  <si>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</si>
  <si>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</si>
  <si>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</si>
  <si>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</si>
  <si>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</si>
  <si>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</si>
  <si>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</si>
  <si>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</si>
  <si>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</si>
  <si>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</si>
  <si>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</si>
  <si>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</si>
  <si>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</si>
  <si>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</si>
  <si>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</si>
  <si>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</si>
  <si>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</si>
  <si>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</si>
  <si>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</si>
  <si>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</si>
  <si>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</si>
  <si>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</si>
  <si>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</si>
  <si>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</si>
  <si>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</si>
  <si>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</si>
  <si>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</si>
  <si>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</si>
  <si>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</si>
  <si>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</si>
  <si>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</si>
  <si>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</si>
  <si>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</si>
  <si>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</si>
  <si>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</si>
  <si>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</si>
  <si>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</si>
  <si>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</si>
  <si>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</si>
  <si>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</si>
  <si>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</si>
  <si>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</si>
  <si>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</si>
  <si>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</si>
  <si>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</si>
  <si>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</si>
  <si>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</si>
  <si>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</si>
  <si>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</si>
  <si>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</si>
  <si>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</si>
  <si>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</si>
  <si>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</si>
  <si>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</si>
  <si>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</si>
  <si>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</si>
  <si>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</si>
  <si>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</si>
  <si>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</si>
  <si>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</si>
  <si>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</si>
  <si>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</si>
  <si>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</si>
  <si>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</si>
  <si>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</si>
  <si>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</si>
  <si>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</si>
  <si>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</si>
  <si>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</si>
  <si>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</si>
  <si>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</si>
  <si>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</si>
  <si>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</si>
  <si>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</si>
  <si>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</si>
  <si>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</si>
  <si>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</si>
  <si>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</si>
  <si>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</si>
  <si>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</si>
  <si>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</si>
  <si>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</si>
  <si>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</si>
  <si>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</si>
  <si>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</si>
  <si>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</si>
  <si>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</si>
  <si>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</si>
  <si>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</si>
  <si>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</si>
  <si>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</si>
  <si>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</si>
  <si>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</si>
  <si>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</si>
  <si>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</si>
  <si>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</si>
  <si>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</si>
  <si>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JOHN STARK SCHOOL DISTRICT</t>
  </si>
  <si>
    <t>7/22/04</t>
  </si>
  <si>
    <t>8/15/11</t>
  </si>
  <si>
    <t>PAYABLES NOT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</si>
</sst>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275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872578.46</v>
      </c>
      <c r="G9" s="18">
        <v>77002.39</v>
      </c>
      <c r="H9" s="18">
        <v>-35263.660000000003</v>
      </c>
      <c r="I9" s="18">
        <v>0</v>
      </c>
      <c r="J9" s="67">
        <f>SUM(I438)</f>
        <v>219481.8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82.7</v>
      </c>
      <c r="H12" s="18">
        <v>0</v>
      </c>
      <c r="I12" s="18">
        <v>0</v>
      </c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181.03</v>
      </c>
      <c r="G13" s="18">
        <v>12202.31</v>
      </c>
      <c r="H13" s="18">
        <v>35379.25</v>
      </c>
      <c r="I13" s="18">
        <v>0</v>
      </c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6000+82.7</f>
        <v>6082.7</v>
      </c>
      <c r="G14" s="18">
        <v>0</v>
      </c>
      <c r="H14" s="18">
        <v>0</v>
      </c>
      <c r="I14" s="18">
        <v>0</v>
      </c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878842.19</v>
      </c>
      <c r="G19" s="41">
        <f>SUM(G9:G18)</f>
        <v>89287.4</v>
      </c>
      <c r="H19" s="41">
        <f>SUM(H9:H18)</f>
        <v>115.58999999999651</v>
      </c>
      <c r="I19" s="41">
        <f>SUM(I9:I18)</f>
        <v>0</v>
      </c>
      <c r="J19" s="41">
        <f>SUM(J9:J18)</f>
        <v>219481.8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82.7</v>
      </c>
      <c r="G22" s="18">
        <v>0</v>
      </c>
      <c r="H22" s="18">
        <v>0</v>
      </c>
      <c r="I22" s="18">
        <v>0</v>
      </c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16302.14</v>
      </c>
      <c r="G24" s="18">
        <v>0</v>
      </c>
      <c r="H24" s="18">
        <v>0</v>
      </c>
      <c r="I24" s="18">
        <v>0</v>
      </c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52230.65</v>
      </c>
      <c r="G25" s="10">
        <v>30000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2988.54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1706.74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71604.03</v>
      </c>
      <c r="G32" s="41">
        <f>SUM(G22:G31)</f>
        <v>31706.74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>
        <v>57580.66</v>
      </c>
      <c r="H47" s="18">
        <v>115.59</v>
      </c>
      <c r="I47" s="18">
        <v>0</v>
      </c>
      <c r="J47" s="13">
        <f>SUM(I458)</f>
        <v>219481.8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0</v>
      </c>
      <c r="G48" s="18"/>
      <c r="H48" s="18">
        <v>0</v>
      </c>
      <c r="I48" s="18">
        <v>0</v>
      </c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707238.16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807238.16</v>
      </c>
      <c r="G50" s="41">
        <f>SUM(G35:G49)</f>
        <v>57580.66</v>
      </c>
      <c r="H50" s="41">
        <f>SUM(H35:H49)</f>
        <v>115.59</v>
      </c>
      <c r="I50" s="41">
        <f>SUM(I35:I49)</f>
        <v>0</v>
      </c>
      <c r="J50" s="41">
        <f>SUM(J35:J49)</f>
        <v>219481.8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878842.19000000006</v>
      </c>
      <c r="G51" s="41">
        <f>G50+G32</f>
        <v>89287.400000000009</v>
      </c>
      <c r="H51" s="41">
        <f>H50+H32</f>
        <v>115.59</v>
      </c>
      <c r="I51" s="41">
        <f>I50+I32</f>
        <v>0</v>
      </c>
      <c r="J51" s="41">
        <f>J50+J32</f>
        <v>219481.8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7884429</v>
      </c>
      <c r="G56" s="18">
        <v>87000</v>
      </c>
      <c r="H56" s="18">
        <v>0</v>
      </c>
      <c r="I56" s="18">
        <v>0</v>
      </c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7884429</v>
      </c>
      <c r="G59" s="41">
        <f>SUM(G56:G58)</f>
        <v>87000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12000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4875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29253.61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46128.61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0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0</v>
      </c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1959.83</v>
      </c>
      <c r="G95" s="18">
        <v>0</v>
      </c>
      <c r="H95" s="18"/>
      <c r="I95" s="18"/>
      <c r="J95" s="18">
        <v>90.67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229437.74-1706.74-82.7</f>
        <v>227648.3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8349.5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0</v>
      </c>
      <c r="G100" s="18">
        <v>0</v>
      </c>
      <c r="H100" s="18">
        <v>0</v>
      </c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0</v>
      </c>
      <c r="G101" s="18">
        <v>0</v>
      </c>
      <c r="H101" s="18">
        <v>2390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1455.31</v>
      </c>
      <c r="G108" s="18">
        <v>0</v>
      </c>
      <c r="H108" s="18">
        <v>0</v>
      </c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8850.47+82.7</f>
        <v>8933.17</v>
      </c>
      <c r="G109" s="18">
        <v>1103.56</v>
      </c>
      <c r="H109" s="18">
        <v>0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20697.809999999998</v>
      </c>
      <c r="G110" s="41">
        <f>SUM(G95:G109)</f>
        <v>228751.86</v>
      </c>
      <c r="H110" s="41">
        <f>SUM(H95:H109)</f>
        <v>2390</v>
      </c>
      <c r="I110" s="41">
        <f>SUM(I95:I109)</f>
        <v>0</v>
      </c>
      <c r="J110" s="41">
        <f>SUM(J95:J109)</f>
        <v>90.67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7951255.4199999999</v>
      </c>
      <c r="G111" s="41">
        <f>G59+G110</f>
        <v>315751.86</v>
      </c>
      <c r="H111" s="41">
        <f>H59+H78+H93+H110</f>
        <v>2390</v>
      </c>
      <c r="I111" s="41">
        <f>I59+I110</f>
        <v>0</v>
      </c>
      <c r="J111" s="41">
        <f>J59+J110</f>
        <v>90.67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3828053.25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1029417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3316.75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11125.76</v>
      </c>
      <c r="G119" s="18">
        <v>0</v>
      </c>
      <c r="H119" s="18">
        <v>343.88</v>
      </c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4871912.76</v>
      </c>
      <c r="G120" s="41">
        <f>SUM(G116:G119)</f>
        <v>0</v>
      </c>
      <c r="H120" s="41">
        <f>SUM(H116:H119)</f>
        <v>343.88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220315.12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525963.06000000006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0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12037.74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2686.08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3300</v>
      </c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761615.92</v>
      </c>
      <c r="G135" s="41">
        <f>SUM(G122:G134)</f>
        <v>2686.08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5633528.6799999997</v>
      </c>
      <c r="G139" s="41">
        <f>G120+SUM(G135:G136)</f>
        <v>2686.08</v>
      </c>
      <c r="H139" s="41">
        <f>H120+SUM(H135:H138)</f>
        <v>343.88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0</v>
      </c>
      <c r="H144" s="18">
        <v>0</v>
      </c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v>0</v>
      </c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>
        <v>0</v>
      </c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51251.519999999997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15285.18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65290.41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215830.01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/>
      <c r="H160" s="18">
        <v>93959.49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215830.01</v>
      </c>
      <c r="G161" s="41">
        <f>SUM(G149:G160)</f>
        <v>65290.41</v>
      </c>
      <c r="H161" s="41">
        <f>SUM(H149:H160)</f>
        <v>160496.19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0</v>
      </c>
      <c r="G162" s="18">
        <v>0</v>
      </c>
      <c r="H162" s="18">
        <v>0</v>
      </c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0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215830.01</v>
      </c>
      <c r="G168" s="41">
        <f>G146+G161+SUM(G162:G167)</f>
        <v>65290.41</v>
      </c>
      <c r="H168" s="41">
        <f>H146+H161+SUM(H162:H167)</f>
        <v>160496.19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82.7</v>
      </c>
      <c r="H178" s="18"/>
      <c r="I178" s="18"/>
      <c r="J178" s="18">
        <v>10000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82.7</v>
      </c>
      <c r="H182" s="41">
        <f>SUM(H178:H181)</f>
        <v>0</v>
      </c>
      <c r="I182" s="41">
        <f>SUM(I178:I181)</f>
        <v>0</v>
      </c>
      <c r="J182" s="41">
        <f>SUM(J178:J181)</f>
        <v>10000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0</v>
      </c>
      <c r="G184" s="18">
        <v>0</v>
      </c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82.7</v>
      </c>
      <c r="H191" s="41">
        <f>+H182+SUM(H187:H190)</f>
        <v>0</v>
      </c>
      <c r="I191" s="41">
        <f>I176+I182+SUM(I187:I190)</f>
        <v>0</v>
      </c>
      <c r="J191" s="41">
        <f>J182</f>
        <v>10000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13800614.109999999</v>
      </c>
      <c r="G192" s="47">
        <f>G111+G139+G168+G191</f>
        <v>383811.05</v>
      </c>
      <c r="H192" s="47">
        <f>H111+H139+H168+H191</f>
        <v>163230.07</v>
      </c>
      <c r="I192" s="47">
        <f>I111+I139+I168+I191</f>
        <v>0</v>
      </c>
      <c r="J192" s="47">
        <f>J111+J139+J191</f>
        <v>10090.67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/>
      <c r="I196" s="18"/>
      <c r="J196" s="18"/>
      <c r="K196" s="18"/>
      <c r="L196" s="19">
        <f>SUM(F196:K196)</f>
        <v>0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/>
      <c r="I201" s="18"/>
      <c r="J201" s="18"/>
      <c r="K201" s="18"/>
      <c r="L201" s="19">
        <f t="shared" ref="L201:L207" si="0">SUM(F201:K201)</f>
        <v>0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 t="shared" si="1"/>
        <v>0</v>
      </c>
      <c r="I210" s="41">
        <f t="shared" si="1"/>
        <v>0</v>
      </c>
      <c r="J210" s="41">
        <f t="shared" si="1"/>
        <v>0</v>
      </c>
      <c r="K210" s="41">
        <f t="shared" si="1"/>
        <v>0</v>
      </c>
      <c r="L210" s="41">
        <f t="shared" si="1"/>
        <v>0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3258944.78</v>
      </c>
      <c r="G232" s="18">
        <v>1359533.05</v>
      </c>
      <c r="H232" s="18">
        <v>31274.11</v>
      </c>
      <c r="I232" s="18">
        <v>111468.76</v>
      </c>
      <c r="J232" s="18">
        <v>38320.6</v>
      </c>
      <c r="K232" s="18">
        <v>2316.06</v>
      </c>
      <c r="L232" s="19">
        <f>SUM(F232:K232)</f>
        <v>4801857.3599999994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1397337.27</v>
      </c>
      <c r="G233" s="18">
        <v>589429.49</v>
      </c>
      <c r="H233" s="18">
        <v>892045.84</v>
      </c>
      <c r="I233" s="18">
        <v>19095.169999999998</v>
      </c>
      <c r="J233" s="18">
        <v>16956.900000000001</v>
      </c>
      <c r="K233" s="18">
        <v>22810.38</v>
      </c>
      <c r="L233" s="19">
        <f>SUM(F233:K233)</f>
        <v>2937675.05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89735.66</v>
      </c>
      <c r="I234" s="18">
        <v>0</v>
      </c>
      <c r="J234" s="18">
        <v>0</v>
      </c>
      <c r="K234" s="18">
        <v>0</v>
      </c>
      <c r="L234" s="19">
        <f>SUM(F234:K234)</f>
        <v>89735.66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296149.78999999998</v>
      </c>
      <c r="G235" s="18">
        <v>67090.3</v>
      </c>
      <c r="H235" s="18">
        <v>155710.22</v>
      </c>
      <c r="I235" s="18">
        <v>25589.38</v>
      </c>
      <c r="J235" s="18">
        <v>15702.86</v>
      </c>
      <c r="K235" s="18">
        <v>78323.600000000006</v>
      </c>
      <c r="L235" s="19">
        <f>SUM(F235:K235)</f>
        <v>638566.14999999991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531587.80000000005</v>
      </c>
      <c r="G237" s="18">
        <v>216473.97</v>
      </c>
      <c r="H237" s="18">
        <v>56044.55</v>
      </c>
      <c r="I237" s="18">
        <v>15581.23</v>
      </c>
      <c r="J237" s="18">
        <v>744</v>
      </c>
      <c r="K237" s="18">
        <v>0</v>
      </c>
      <c r="L237" s="19">
        <f t="shared" ref="L237:L243" si="4">SUM(F237:K237)</f>
        <v>820431.55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171462.22</v>
      </c>
      <c r="G238" s="18">
        <v>82275.649999999994</v>
      </c>
      <c r="H238" s="18">
        <v>48425.86</v>
      </c>
      <c r="I238" s="18">
        <v>43649.56</v>
      </c>
      <c r="J238" s="18">
        <v>113427.64</v>
      </c>
      <c r="K238" s="18">
        <v>14886.72</v>
      </c>
      <c r="L238" s="19">
        <f t="shared" si="4"/>
        <v>474127.64999999997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4400</v>
      </c>
      <c r="G239" s="18">
        <v>43847.82</v>
      </c>
      <c r="H239" s="18">
        <v>437107.66</v>
      </c>
      <c r="I239" s="18">
        <v>4195.2700000000004</v>
      </c>
      <c r="J239" s="18">
        <v>0</v>
      </c>
      <c r="K239" s="18">
        <v>7774.28</v>
      </c>
      <c r="L239" s="19">
        <f t="shared" si="4"/>
        <v>497325.03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420834.26</v>
      </c>
      <c r="G240" s="18">
        <v>181079.04000000001</v>
      </c>
      <c r="H240" s="18">
        <v>36742.17</v>
      </c>
      <c r="I240" s="18">
        <v>11475.03</v>
      </c>
      <c r="J240" s="18">
        <v>179</v>
      </c>
      <c r="K240" s="18">
        <v>40383.96</v>
      </c>
      <c r="L240" s="19">
        <f t="shared" si="4"/>
        <v>690693.46000000008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309816.43</v>
      </c>
      <c r="G242" s="18">
        <v>148599.76999999999</v>
      </c>
      <c r="H242" s="18">
        <v>399697.7</v>
      </c>
      <c r="I242" s="18">
        <v>318209.18</v>
      </c>
      <c r="J242" s="18">
        <v>11315.9</v>
      </c>
      <c r="K242" s="18">
        <v>288.41000000000003</v>
      </c>
      <c r="L242" s="19">
        <f t="shared" si="4"/>
        <v>1187927.3899999997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0</v>
      </c>
      <c r="G243" s="18">
        <v>0</v>
      </c>
      <c r="H243" s="18">
        <v>540864.68000000005</v>
      </c>
      <c r="I243" s="18">
        <v>0</v>
      </c>
      <c r="J243" s="18">
        <v>0</v>
      </c>
      <c r="K243" s="18">
        <v>0</v>
      </c>
      <c r="L243" s="19">
        <f t="shared" si="4"/>
        <v>540864.68000000005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6390532.5499999989</v>
      </c>
      <c r="G246" s="41">
        <f t="shared" si="5"/>
        <v>2688329.09</v>
      </c>
      <c r="H246" s="41">
        <f t="shared" si="5"/>
        <v>2687648.45</v>
      </c>
      <c r="I246" s="41">
        <f t="shared" si="5"/>
        <v>549263.57999999996</v>
      </c>
      <c r="J246" s="41">
        <f t="shared" si="5"/>
        <v>196646.9</v>
      </c>
      <c r="K246" s="41">
        <f t="shared" si="5"/>
        <v>166783.41</v>
      </c>
      <c r="L246" s="41">
        <f t="shared" si="5"/>
        <v>12679203.98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>
        <v>0</v>
      </c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6390532.5499999989</v>
      </c>
      <c r="G256" s="41">
        <f t="shared" si="8"/>
        <v>2688329.09</v>
      </c>
      <c r="H256" s="41">
        <f t="shared" si="8"/>
        <v>2687648.45</v>
      </c>
      <c r="I256" s="41">
        <f t="shared" si="8"/>
        <v>549263.57999999996</v>
      </c>
      <c r="J256" s="41">
        <f t="shared" si="8"/>
        <v>196646.9</v>
      </c>
      <c r="K256" s="41">
        <f t="shared" si="8"/>
        <v>166783.41</v>
      </c>
      <c r="L256" s="41">
        <f t="shared" si="8"/>
        <v>12679203.98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490000</v>
      </c>
      <c r="L259" s="19">
        <f>SUM(F259:K259)</f>
        <v>490000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12250</v>
      </c>
      <c r="L260" s="19">
        <f>SUM(F260:K260)</f>
        <v>12250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82.7</v>
      </c>
      <c r="L262" s="19">
        <f>SUM(F262:K262)</f>
        <v>82.7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10000</v>
      </c>
      <c r="L265" s="19">
        <f t="shared" si="9"/>
        <v>10000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512332.7</v>
      </c>
      <c r="L269" s="41">
        <f t="shared" si="9"/>
        <v>512332.7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6390532.5499999989</v>
      </c>
      <c r="G270" s="42">
        <f t="shared" si="11"/>
        <v>2688329.09</v>
      </c>
      <c r="H270" s="42">
        <f t="shared" si="11"/>
        <v>2687648.45</v>
      </c>
      <c r="I270" s="42">
        <f t="shared" si="11"/>
        <v>549263.57999999996</v>
      </c>
      <c r="J270" s="42">
        <f t="shared" si="11"/>
        <v>196646.9</v>
      </c>
      <c r="K270" s="42">
        <f t="shared" si="11"/>
        <v>679116.11</v>
      </c>
      <c r="L270" s="42">
        <f t="shared" si="11"/>
        <v>13191536.68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93959.49</v>
      </c>
      <c r="G313" s="18">
        <v>0</v>
      </c>
      <c r="H313" s="18">
        <v>0</v>
      </c>
      <c r="I313" s="18">
        <v>673.95</v>
      </c>
      <c r="J313" s="18">
        <v>0</v>
      </c>
      <c r="K313" s="18">
        <v>0</v>
      </c>
      <c r="L313" s="19">
        <f>SUM(F313:K313)</f>
        <v>94633.44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1890</v>
      </c>
      <c r="L316" s="19">
        <f>SUM(F316:K316)</f>
        <v>1890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2275</v>
      </c>
      <c r="G319" s="18">
        <v>361.72</v>
      </c>
      <c r="H319" s="18">
        <v>11988.38</v>
      </c>
      <c r="I319" s="18">
        <v>1560</v>
      </c>
      <c r="J319" s="18">
        <v>0</v>
      </c>
      <c r="K319" s="18">
        <v>0</v>
      </c>
      <c r="L319" s="19">
        <f t="shared" si="16"/>
        <v>16185.099999999999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311.87</v>
      </c>
      <c r="L320" s="19">
        <f t="shared" si="16"/>
        <v>311.87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343.88</v>
      </c>
      <c r="I324" s="18">
        <v>0</v>
      </c>
      <c r="J324" s="18">
        <v>0</v>
      </c>
      <c r="K324" s="18">
        <v>0</v>
      </c>
      <c r="L324" s="19">
        <f t="shared" si="16"/>
        <v>343.88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96234.49</v>
      </c>
      <c r="G327" s="42">
        <f t="shared" si="17"/>
        <v>361.72</v>
      </c>
      <c r="H327" s="42">
        <f t="shared" si="17"/>
        <v>12332.259999999998</v>
      </c>
      <c r="I327" s="42">
        <f t="shared" si="17"/>
        <v>2233.9499999999998</v>
      </c>
      <c r="J327" s="42">
        <f t="shared" si="17"/>
        <v>0</v>
      </c>
      <c r="K327" s="42">
        <f t="shared" si="17"/>
        <v>2201.87</v>
      </c>
      <c r="L327" s="41">
        <f t="shared" si="17"/>
        <v>113364.29000000001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>
        <v>0</v>
      </c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96234.49</v>
      </c>
      <c r="G337" s="41">
        <f t="shared" si="20"/>
        <v>361.72</v>
      </c>
      <c r="H337" s="41">
        <f t="shared" si="20"/>
        <v>12332.259999999998</v>
      </c>
      <c r="I337" s="41">
        <f t="shared" si="20"/>
        <v>2233.9499999999998</v>
      </c>
      <c r="J337" s="41">
        <f t="shared" si="20"/>
        <v>0</v>
      </c>
      <c r="K337" s="41">
        <f t="shared" si="20"/>
        <v>2201.87</v>
      </c>
      <c r="L337" s="41">
        <f t="shared" si="20"/>
        <v>113364.29000000001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49750.19</v>
      </c>
      <c r="L349" s="19">
        <f t="shared" si="21"/>
        <v>49750.19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49750.19</v>
      </c>
      <c r="L350" s="41">
        <f>SUM(L340:L349)</f>
        <v>49750.19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96234.49</v>
      </c>
      <c r="G351" s="41">
        <f>G337</f>
        <v>361.72</v>
      </c>
      <c r="H351" s="41">
        <f>H337</f>
        <v>12332.259999999998</v>
      </c>
      <c r="I351" s="41">
        <f>I337</f>
        <v>2233.9499999999998</v>
      </c>
      <c r="J351" s="41">
        <f>J337</f>
        <v>0</v>
      </c>
      <c r="K351" s="47">
        <f>K337+K350</f>
        <v>51952.060000000005</v>
      </c>
      <c r="L351" s="41">
        <f>L337+L350</f>
        <v>163114.48000000001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90233.600000000006</v>
      </c>
      <c r="G359" s="18">
        <v>31567.19</v>
      </c>
      <c r="H359" s="18">
        <v>31302.85</v>
      </c>
      <c r="I359" s="18">
        <v>188752.13</v>
      </c>
      <c r="J359" s="18">
        <v>3542</v>
      </c>
      <c r="K359" s="18">
        <v>1040.25</v>
      </c>
      <c r="L359" s="19">
        <f>SUM(F359:K359)</f>
        <v>346438.02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90233.600000000006</v>
      </c>
      <c r="G361" s="47">
        <f t="shared" si="22"/>
        <v>31567.19</v>
      </c>
      <c r="H361" s="47">
        <f t="shared" si="22"/>
        <v>31302.85</v>
      </c>
      <c r="I361" s="47">
        <f t="shared" si="22"/>
        <v>188752.13</v>
      </c>
      <c r="J361" s="47">
        <f t="shared" si="22"/>
        <v>3542</v>
      </c>
      <c r="K361" s="47">
        <f t="shared" si="22"/>
        <v>1040.25</v>
      </c>
      <c r="L361" s="47">
        <f t="shared" si="22"/>
        <v>346438.02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>
        <v>155238.57999999999</v>
      </c>
      <c r="I366" s="56">
        <f>SUM(F366:H366)</f>
        <v>155238.57999999999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>
        <v>33513.550000000003</v>
      </c>
      <c r="I367" s="56">
        <f>SUM(F367:H367)</f>
        <v>33513.550000000003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188752.13</v>
      </c>
      <c r="I368" s="47">
        <f>SUM(I366:I367)</f>
        <v>188752.13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0</v>
      </c>
      <c r="H388" s="18">
        <v>26.81</v>
      </c>
      <c r="I388" s="18"/>
      <c r="J388" s="24" t="s">
        <v>289</v>
      </c>
      <c r="K388" s="24" t="s">
        <v>289</v>
      </c>
      <c r="L388" s="56">
        <f t="shared" si="25"/>
        <v>26.81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>
        <v>0</v>
      </c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>
        <v>0</v>
      </c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26.81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26.81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10000</v>
      </c>
      <c r="H395" s="18">
        <v>63.86</v>
      </c>
      <c r="I395" s="18"/>
      <c r="J395" s="24" t="s">
        <v>289</v>
      </c>
      <c r="K395" s="24" t="s">
        <v>289</v>
      </c>
      <c r="L395" s="56">
        <f t="shared" si="26"/>
        <v>10063.86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0</v>
      </c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0</v>
      </c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10000</v>
      </c>
      <c r="H400" s="47">
        <f>SUM(H394:H399)</f>
        <v>63.86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10063.86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10000</v>
      </c>
      <c r="H407" s="47">
        <f>H392+H400+H406</f>
        <v>90.67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10090.67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>
        <v>0</v>
      </c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>
        <v>0</v>
      </c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>
        <v>0</v>
      </c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219481.8</v>
      </c>
      <c r="H438" s="18"/>
      <c r="I438" s="56">
        <f t="shared" ref="I438:I444" si="33">SUM(F438:H438)</f>
        <v>219481.8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219481.8</v>
      </c>
      <c r="H445" s="13">
        <f>SUM(H438:H444)</f>
        <v>0</v>
      </c>
      <c r="I445" s="13">
        <f>SUM(I438:I444)</f>
        <v>219481.8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219481.8</v>
      </c>
      <c r="H458" s="18"/>
      <c r="I458" s="56">
        <f t="shared" si="34"/>
        <v>219481.8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219481.8</v>
      </c>
      <c r="H459" s="83">
        <f>SUM(H453:H458)</f>
        <v>0</v>
      </c>
      <c r="I459" s="83">
        <f>SUM(I453:I458)</f>
        <v>219481.8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219481.8</v>
      </c>
      <c r="H460" s="42">
        <f>H451+H459</f>
        <v>0</v>
      </c>
      <c r="I460" s="42">
        <f>I451+I459</f>
        <v>219481.8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162347.54</v>
      </c>
      <c r="G464" s="18">
        <v>20207.63</v>
      </c>
      <c r="H464" s="18">
        <v>0</v>
      </c>
      <c r="I464" s="18">
        <v>0</v>
      </c>
      <c r="J464" s="18">
        <v>209391.13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13800531.41+82.7</f>
        <v>13800614.109999999</v>
      </c>
      <c r="G467" s="18">
        <v>383811.05</v>
      </c>
      <c r="H467" s="18">
        <v>163230.07</v>
      </c>
      <c r="I467" s="18">
        <v>0</v>
      </c>
      <c r="J467" s="18">
        <v>10090.67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35813.19</v>
      </c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13836427.299999999</v>
      </c>
      <c r="G469" s="53">
        <f>SUM(G467:G468)</f>
        <v>383811.05</v>
      </c>
      <c r="H469" s="53">
        <f>SUM(H467:H468)</f>
        <v>163230.07</v>
      </c>
      <c r="I469" s="53">
        <f>SUM(I467:I468)</f>
        <v>0</v>
      </c>
      <c r="J469" s="53">
        <f>SUM(J467:J468)</f>
        <v>10090.67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13191536.68</f>
        <v>13191536.68</v>
      </c>
      <c r="G471" s="18">
        <v>346438.02</v>
      </c>
      <c r="H471" s="18">
        <v>163114.48000000001</v>
      </c>
      <c r="I471" s="18">
        <v>0</v>
      </c>
      <c r="J471" s="18">
        <v>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13191536.68</v>
      </c>
      <c r="G473" s="53">
        <f>SUM(G471:G472)</f>
        <v>346438.02</v>
      </c>
      <c r="H473" s="53">
        <f>SUM(H471:H472)</f>
        <v>163114.48000000001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807238.15999999829</v>
      </c>
      <c r="G475" s="53">
        <f>(G464+G469)- G473</f>
        <v>57580.659999999974</v>
      </c>
      <c r="H475" s="53">
        <f>(H464+H469)- H473</f>
        <v>115.58999999999651</v>
      </c>
      <c r="I475" s="53">
        <f>(I464+I469)- I473</f>
        <v>0</v>
      </c>
      <c r="J475" s="53">
        <f>(J464+J469)- J473</f>
        <v>219481.80000000002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 t="s">
        <v>912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7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3516000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3.27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490000</v>
      </c>
      <c r="G494" s="18"/>
      <c r="H494" s="18"/>
      <c r="I494" s="18"/>
      <c r="J494" s="18"/>
      <c r="K494" s="53">
        <f>SUM(F494:J494)</f>
        <v>490000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490000</v>
      </c>
      <c r="G496" s="18"/>
      <c r="H496" s="18"/>
      <c r="I496" s="18"/>
      <c r="J496" s="18"/>
      <c r="K496" s="53">
        <f t="shared" si="35"/>
        <v>490000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0</v>
      </c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0</v>
      </c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0</v>
      </c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0</v>
      </c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/>
      <c r="I520" s="18"/>
      <c r="J520" s="18"/>
      <c r="K520" s="18"/>
      <c r="L520" s="88">
        <f>SUM(F520:K520)</f>
        <v>0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1397337.27</v>
      </c>
      <c r="G522" s="18">
        <v>589429.49</v>
      </c>
      <c r="H522" s="18">
        <v>892045.84</v>
      </c>
      <c r="I522" s="18">
        <v>19095.169999999998</v>
      </c>
      <c r="J522" s="18">
        <v>16956.900000000001</v>
      </c>
      <c r="K522" s="18">
        <v>22810.38</v>
      </c>
      <c r="L522" s="88">
        <f>SUM(F522:K522)</f>
        <v>2937675.05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1397337.27</v>
      </c>
      <c r="G523" s="108">
        <f t="shared" ref="G523:L523" si="36">SUM(G520:G522)</f>
        <v>589429.49</v>
      </c>
      <c r="H523" s="108">
        <f t="shared" si="36"/>
        <v>892045.84</v>
      </c>
      <c r="I523" s="108">
        <f t="shared" si="36"/>
        <v>19095.169999999998</v>
      </c>
      <c r="J523" s="108">
        <f t="shared" si="36"/>
        <v>16956.900000000001</v>
      </c>
      <c r="K523" s="108">
        <f t="shared" si="36"/>
        <v>22810.38</v>
      </c>
      <c r="L523" s="89">
        <f t="shared" si="36"/>
        <v>2937675.05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81757.649999999994</v>
      </c>
      <c r="G527" s="18">
        <v>44008.86</v>
      </c>
      <c r="H527" s="18">
        <v>45561.64</v>
      </c>
      <c r="I527" s="18">
        <v>0</v>
      </c>
      <c r="J527" s="18">
        <v>0</v>
      </c>
      <c r="K527" s="18">
        <v>0</v>
      </c>
      <c r="L527" s="88">
        <f>SUM(F527:K527)</f>
        <v>171328.15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81757.649999999994</v>
      </c>
      <c r="G528" s="89">
        <f t="shared" ref="G528:L528" si="37">SUM(G525:G527)</f>
        <v>44008.86</v>
      </c>
      <c r="H528" s="89">
        <f t="shared" si="37"/>
        <v>45561.64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171328.15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46516.83</v>
      </c>
      <c r="G532" s="18">
        <v>15923.61</v>
      </c>
      <c r="H532" s="18"/>
      <c r="I532" s="18"/>
      <c r="J532" s="18"/>
      <c r="K532" s="18">
        <v>390.61</v>
      </c>
      <c r="L532" s="88">
        <f>SUM(F532:K532)</f>
        <v>62831.05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46516.83</v>
      </c>
      <c r="G533" s="89">
        <f t="shared" ref="G533:L533" si="38">SUM(G530:G532)</f>
        <v>15923.61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390.61</v>
      </c>
      <c r="L533" s="89">
        <f t="shared" si="38"/>
        <v>62831.05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5564.88</v>
      </c>
      <c r="I537" s="18"/>
      <c r="J537" s="18"/>
      <c r="K537" s="18"/>
      <c r="L537" s="88">
        <f>SUM(F537:K537)</f>
        <v>5564.88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5564.88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5564.88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267150.21999999997</v>
      </c>
      <c r="I542" s="18"/>
      <c r="J542" s="18"/>
      <c r="K542" s="18"/>
      <c r="L542" s="88">
        <f>SUM(F542:K542)</f>
        <v>267150.21999999997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267150.21999999997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267150.21999999997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1525611.75</v>
      </c>
      <c r="G544" s="89">
        <f t="shared" ref="G544:L544" si="41">G523+G528+G533+G538+G543</f>
        <v>649361.96</v>
      </c>
      <c r="H544" s="89">
        <f t="shared" si="41"/>
        <v>1210322.58</v>
      </c>
      <c r="I544" s="89">
        <f t="shared" si="41"/>
        <v>19095.169999999998</v>
      </c>
      <c r="J544" s="89">
        <f t="shared" si="41"/>
        <v>16956.900000000001</v>
      </c>
      <c r="K544" s="89">
        <f t="shared" si="41"/>
        <v>23200.99</v>
      </c>
      <c r="L544" s="89">
        <f t="shared" si="41"/>
        <v>3444549.3499999996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0</v>
      </c>
      <c r="G548" s="87">
        <f>L525</f>
        <v>0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0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2937675.05</v>
      </c>
      <c r="G550" s="87">
        <f>L527</f>
        <v>171328.15</v>
      </c>
      <c r="H550" s="87">
        <f>L532</f>
        <v>62831.05</v>
      </c>
      <c r="I550" s="87">
        <f>L537</f>
        <v>5564.88</v>
      </c>
      <c r="J550" s="87">
        <f>L542</f>
        <v>267150.21999999997</v>
      </c>
      <c r="K550" s="87">
        <f>SUM(F550:J550)</f>
        <v>3444549.3499999996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2937675.05</v>
      </c>
      <c r="G551" s="89">
        <f t="shared" si="42"/>
        <v>171328.15</v>
      </c>
      <c r="H551" s="89">
        <f t="shared" si="42"/>
        <v>62831.05</v>
      </c>
      <c r="I551" s="89">
        <f t="shared" si="42"/>
        <v>5564.88</v>
      </c>
      <c r="J551" s="89">
        <f t="shared" si="42"/>
        <v>267150.21999999997</v>
      </c>
      <c r="K551" s="89">
        <f t="shared" si="42"/>
        <v>3444549.3499999996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78.75</v>
      </c>
      <c r="G563" s="18">
        <v>6.02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84.77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78.75</v>
      </c>
      <c r="G564" s="89">
        <f t="shared" si="44"/>
        <v>6.02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84.77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78.75</v>
      </c>
      <c r="G570" s="89">
        <f t="shared" ref="G570:L570" si="46">G559+G564+G569</f>
        <v>6.02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84.77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0</v>
      </c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>
        <v>0</v>
      </c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>
        <v>0</v>
      </c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19891.66</v>
      </c>
      <c r="I578" s="87">
        <f t="shared" si="47"/>
        <v>19891.66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>
        <v>0</v>
      </c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520370.24</v>
      </c>
      <c r="I581" s="87">
        <f t="shared" si="47"/>
        <v>520370.24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v>270049.09999999998</v>
      </c>
      <c r="I582" s="87">
        <f t="shared" si="47"/>
        <v>270049.09999999998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89735.66</v>
      </c>
      <c r="I583" s="87">
        <f t="shared" si="47"/>
        <v>89735.66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>
        <v>0</v>
      </c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>
        <v>0</v>
      </c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/>
      <c r="I590" s="18"/>
      <c r="J590" s="18">
        <v>141102.46</v>
      </c>
      <c r="K590" s="104">
        <f t="shared" ref="K590:K596" si="48">SUM(H590:J590)</f>
        <v>141102.46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>
        <v>267150.21999999997</v>
      </c>
      <c r="K591" s="104">
        <f t="shared" si="48"/>
        <v>267150.21999999997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30364.2</v>
      </c>
      <c r="K592" s="104">
        <f t="shared" si="48"/>
        <v>30364.2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>
        <v>70793.94</v>
      </c>
      <c r="K593" s="104">
        <f t="shared" si="48"/>
        <v>70793.94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>
        <v>31453.86</v>
      </c>
      <c r="K594" s="104">
        <f t="shared" si="48"/>
        <v>31453.86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>
        <v>0</v>
      </c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>
        <v>0</v>
      </c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0</v>
      </c>
      <c r="I597" s="108">
        <f>SUM(I590:I596)</f>
        <v>0</v>
      </c>
      <c r="J597" s="108">
        <f>SUM(J590:J596)</f>
        <v>540864.67999999993</v>
      </c>
      <c r="K597" s="108">
        <f>SUM(K590:K596)</f>
        <v>540864.67999999993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>
        <v>0</v>
      </c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>
        <v>0</v>
      </c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>
        <v>196646.9</v>
      </c>
      <c r="K603" s="104">
        <f>SUM(H603:J603)</f>
        <v>196646.9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196646.9</v>
      </c>
      <c r="K604" s="108">
        <f>SUM(K601:K603)</f>
        <v>196646.9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30329.84</v>
      </c>
      <c r="G612" s="18">
        <v>5321.71</v>
      </c>
      <c r="H612" s="18">
        <v>0</v>
      </c>
      <c r="I612" s="18">
        <v>135.69999999999999</v>
      </c>
      <c r="J612" s="18">
        <v>0</v>
      </c>
      <c r="K612" s="18">
        <v>0</v>
      </c>
      <c r="L612" s="88">
        <f>SUM(F612:K612)</f>
        <v>35787.25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30329.84</v>
      </c>
      <c r="G613" s="108">
        <f t="shared" si="49"/>
        <v>5321.71</v>
      </c>
      <c r="H613" s="108">
        <f t="shared" si="49"/>
        <v>0</v>
      </c>
      <c r="I613" s="108">
        <f t="shared" si="49"/>
        <v>135.69999999999999</v>
      </c>
      <c r="J613" s="108">
        <f t="shared" si="49"/>
        <v>0</v>
      </c>
      <c r="K613" s="108">
        <f t="shared" si="49"/>
        <v>0</v>
      </c>
      <c r="L613" s="89">
        <f t="shared" si="49"/>
        <v>35787.25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878842.19</v>
      </c>
      <c r="H616" s="109">
        <f>SUM(F51)</f>
        <v>878842.19000000006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89287.4</v>
      </c>
      <c r="H617" s="109">
        <f>SUM(G51)</f>
        <v>89287.400000000009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115.58999999999651</v>
      </c>
      <c r="H618" s="109">
        <f>SUM(H51)</f>
        <v>115.59</v>
      </c>
      <c r="I618" s="121" t="s">
        <v>903</v>
      </c>
      <c r="J618" s="109">
        <f>G618-H618</f>
        <v>-3.4958702599396929E-12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219481.8</v>
      </c>
      <c r="H620" s="109">
        <f>SUM(J51)</f>
        <v>219481.8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807238.16</v>
      </c>
      <c r="H621" s="109">
        <f>F475</f>
        <v>807238.15999999829</v>
      </c>
      <c r="I621" s="121" t="s">
        <v>101</v>
      </c>
      <c r="J621" s="109">
        <f t="shared" ref="J621:J654" si="50">G621-H621</f>
        <v>1.7462298274040222E-9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57580.66</v>
      </c>
      <c r="H622" s="109">
        <f>G475</f>
        <v>57580.659999999974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115.59</v>
      </c>
      <c r="H623" s="109">
        <f>H475</f>
        <v>115.58999999999651</v>
      </c>
      <c r="I623" s="121" t="s">
        <v>103</v>
      </c>
      <c r="J623" s="109">
        <f t="shared" si="50"/>
        <v>3.4958702599396929E-12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219481.8</v>
      </c>
      <c r="H625" s="109">
        <f>J475</f>
        <v>219481.80000000002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13800614.109999999</v>
      </c>
      <c r="H626" s="104">
        <f>SUM(F467)</f>
        <v>13800614.109999999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383811.05</v>
      </c>
      <c r="H627" s="104">
        <f>SUM(G467)</f>
        <v>383811.05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163230.07</v>
      </c>
      <c r="H628" s="104">
        <f>SUM(H467)</f>
        <v>163230.07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10090.67</v>
      </c>
      <c r="H630" s="104">
        <f>SUM(J467)</f>
        <v>10090.67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13191536.68</v>
      </c>
      <c r="H631" s="104">
        <f>SUM(F471)</f>
        <v>13191536.68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163114.48000000001</v>
      </c>
      <c r="H632" s="104">
        <f>SUM(H471)</f>
        <v>163114.48000000001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188752.13</v>
      </c>
      <c r="H633" s="104">
        <f>I368</f>
        <v>188752.13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346438.02</v>
      </c>
      <c r="H634" s="104">
        <f>SUM(G471)</f>
        <v>346438.02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10090.67</v>
      </c>
      <c r="H636" s="164">
        <f>SUM(J467)</f>
        <v>10090.67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219481.8</v>
      </c>
      <c r="H639" s="104">
        <f>SUM(G460)</f>
        <v>219481.8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219481.8</v>
      </c>
      <c r="H641" s="104">
        <f>SUM(I460)</f>
        <v>219481.8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90.67</v>
      </c>
      <c r="H643" s="104">
        <f>H407</f>
        <v>90.67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10000</v>
      </c>
      <c r="H644" s="104">
        <f>G407</f>
        <v>10000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10090.67</v>
      </c>
      <c r="H645" s="104">
        <f>L407</f>
        <v>10090.67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540864.67999999993</v>
      </c>
      <c r="H646" s="104">
        <f>L207+L225+L243</f>
        <v>540864.68000000005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196646.9</v>
      </c>
      <c r="H647" s="104">
        <f>(J256+J337)-(J254+J335)</f>
        <v>196646.9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0</v>
      </c>
      <c r="H648" s="104">
        <f>H597</f>
        <v>0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540864.68000000005</v>
      </c>
      <c r="H650" s="104">
        <f>J597</f>
        <v>540864.67999999993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82.7</v>
      </c>
      <c r="H651" s="104">
        <f>K262+K344</f>
        <v>82.7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10000</v>
      </c>
      <c r="H654" s="104">
        <f>K265+K346</f>
        <v>10000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0</v>
      </c>
      <c r="G659" s="19">
        <f>(L228+L308+L358)</f>
        <v>0</v>
      </c>
      <c r="H659" s="19">
        <f>(L246+L327+L359)</f>
        <v>13139006.289999999</v>
      </c>
      <c r="I659" s="19">
        <f>SUM(F659:H659)</f>
        <v>13139006.289999999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228751.86</v>
      </c>
      <c r="I660" s="19">
        <f>SUM(F660:H660)</f>
        <v>228751.86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0</v>
      </c>
      <c r="G661" s="19">
        <f>(L225+L305)-(J225+J305)</f>
        <v>0</v>
      </c>
      <c r="H661" s="19">
        <f>(L243+L324)-(J243+J324)</f>
        <v>541208.56000000006</v>
      </c>
      <c r="I661" s="19">
        <f>SUM(F661:H661)</f>
        <v>541208.56000000006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0</v>
      </c>
      <c r="G662" s="200">
        <f>SUM(G574:G586)+SUM(I601:I603)+L611</f>
        <v>0</v>
      </c>
      <c r="H662" s="200">
        <f>SUM(H574:H586)+SUM(J601:J603)+L612</f>
        <v>1132480.81</v>
      </c>
      <c r="I662" s="19">
        <f>SUM(F662:H662)</f>
        <v>1132480.81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0</v>
      </c>
      <c r="G663" s="19">
        <f>G659-SUM(G660:G662)</f>
        <v>0</v>
      </c>
      <c r="H663" s="19">
        <f>H659-SUM(H660:H662)</f>
        <v>11236565.059999999</v>
      </c>
      <c r="I663" s="19">
        <f>I659-SUM(I660:I662)</f>
        <v>11236565.059999999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/>
      <c r="G664" s="249"/>
      <c r="H664" s="249">
        <v>730.7</v>
      </c>
      <c r="I664" s="19">
        <f>SUM(F664:H664)</f>
        <v>730.7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>
        <f>ROUND(H663/H664,2)</f>
        <v>15377.81</v>
      </c>
      <c r="I666" s="19">
        <f>ROUND(I663/I664,2)</f>
        <v>15377.81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-12.87</v>
      </c>
      <c r="I669" s="19">
        <f>SUM(F669:H669)</f>
        <v>-12.87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>
        <f>ROUND((H663+H668)/(H664+H669),2)</f>
        <v>15653.52</v>
      </c>
      <c r="I671" s="19">
        <f>ROUND((I663+I668)/(I664+I669),2)</f>
        <v>15653.52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75" bottom="0.75" header="0.5" footer="0.5"/>
  <pageSetup scale="85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JOHN STARK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3352904.27</v>
      </c>
      <c r="C9" s="230">
        <f>'DOE25'!G196+'DOE25'!G214+'DOE25'!G232+'DOE25'!G275+'DOE25'!G294+'DOE25'!G313</f>
        <v>1359533.05</v>
      </c>
    </row>
    <row r="10" spans="1:3">
      <c r="A10" t="s">
        <v>779</v>
      </c>
      <c r="B10" s="241">
        <v>3270641.77</v>
      </c>
      <c r="C10" s="241">
        <v>1353240.77</v>
      </c>
    </row>
    <row r="11" spans="1:3">
      <c r="A11" t="s">
        <v>780</v>
      </c>
      <c r="B11" s="241">
        <v>0</v>
      </c>
      <c r="C11" s="241">
        <v>0</v>
      </c>
    </row>
    <row r="12" spans="1:3">
      <c r="A12" t="s">
        <v>781</v>
      </c>
      <c r="B12" s="241">
        <v>82262.5</v>
      </c>
      <c r="C12" s="241">
        <v>6292.28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3352904.27</v>
      </c>
      <c r="C13" s="232">
        <f>SUM(C10:C12)</f>
        <v>1359533.05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1397337.27</v>
      </c>
      <c r="C18" s="230">
        <f>'DOE25'!G197+'DOE25'!G215+'DOE25'!G233+'DOE25'!G276+'DOE25'!G295+'DOE25'!G314</f>
        <v>589429.49</v>
      </c>
    </row>
    <row r="19" spans="1:3">
      <c r="A19" t="s">
        <v>779</v>
      </c>
      <c r="B19" s="241">
        <v>942694.2</v>
      </c>
      <c r="C19" s="241">
        <v>514430.23</v>
      </c>
    </row>
    <row r="20" spans="1:3">
      <c r="A20" t="s">
        <v>780</v>
      </c>
      <c r="B20" s="241">
        <v>436964.82</v>
      </c>
      <c r="C20" s="241">
        <v>68556.27</v>
      </c>
    </row>
    <row r="21" spans="1:3">
      <c r="A21" t="s">
        <v>781</v>
      </c>
      <c r="B21" s="241">
        <v>17678.25</v>
      </c>
      <c r="C21" s="241">
        <v>6442.99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1397337.27</v>
      </c>
      <c r="C22" s="232">
        <f>SUM(C19:C21)</f>
        <v>589429.49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296149.78999999998</v>
      </c>
      <c r="C36" s="236">
        <f>'DOE25'!G199+'DOE25'!G217+'DOE25'!G235+'DOE25'!G278+'DOE25'!G297+'DOE25'!G316</f>
        <v>67090.3</v>
      </c>
    </row>
    <row r="37" spans="1:3">
      <c r="A37" t="s">
        <v>779</v>
      </c>
      <c r="B37" s="241">
        <v>208689.8</v>
      </c>
      <c r="C37" s="241">
        <v>60381.27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>
        <v>87459.99</v>
      </c>
      <c r="C39" s="241">
        <v>6709.03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296149.78999999998</v>
      </c>
      <c r="C40" s="232">
        <f>SUM(C37:C39)</f>
        <v>67090.3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32" activePane="bottomLeft" state="frozen"/>
      <selection pane="bottomLeft" activeCell="D9" sqref="D9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JOHN STARK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8467834.2199999988</v>
      </c>
      <c r="D5" s="20">
        <f>SUM('DOE25'!L196:L199)+SUM('DOE25'!L214:L217)+SUM('DOE25'!L232:L235)-F5-G5</f>
        <v>8293403.8199999994</v>
      </c>
      <c r="E5" s="244"/>
      <c r="F5" s="256">
        <f>SUM('DOE25'!J196:J199)+SUM('DOE25'!J214:J217)+SUM('DOE25'!J232:J235)</f>
        <v>70980.36</v>
      </c>
      <c r="G5" s="53">
        <f>SUM('DOE25'!K196:K199)+SUM('DOE25'!K214:K217)+SUM('DOE25'!K232:K235)</f>
        <v>103450.04000000001</v>
      </c>
      <c r="H5" s="260"/>
    </row>
    <row r="6" spans="1:9">
      <c r="A6" s="32">
        <v>2100</v>
      </c>
      <c r="B6" t="s">
        <v>801</v>
      </c>
      <c r="C6" s="246">
        <f t="shared" si="0"/>
        <v>820431.55</v>
      </c>
      <c r="D6" s="20">
        <f>'DOE25'!L201+'DOE25'!L219+'DOE25'!L237-F6-G6</f>
        <v>819687.55</v>
      </c>
      <c r="E6" s="244"/>
      <c r="F6" s="256">
        <f>'DOE25'!J201+'DOE25'!J219+'DOE25'!J237</f>
        <v>744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474127.64999999997</v>
      </c>
      <c r="D7" s="20">
        <f>'DOE25'!L202+'DOE25'!L220+'DOE25'!L238-F7-G7</f>
        <v>345813.29</v>
      </c>
      <c r="E7" s="244"/>
      <c r="F7" s="256">
        <f>'DOE25'!J202+'DOE25'!J220+'DOE25'!J238</f>
        <v>113427.64</v>
      </c>
      <c r="G7" s="53">
        <f>'DOE25'!K202+'DOE25'!K220+'DOE25'!K238</f>
        <v>14886.72</v>
      </c>
      <c r="H7" s="260"/>
    </row>
    <row r="8" spans="1:9">
      <c r="A8" s="32">
        <v>2300</v>
      </c>
      <c r="B8" t="s">
        <v>802</v>
      </c>
      <c r="C8" s="246">
        <f t="shared" si="0"/>
        <v>297851.27000000008</v>
      </c>
      <c r="D8" s="244"/>
      <c r="E8" s="20">
        <f>'DOE25'!L203+'DOE25'!L221+'DOE25'!L239-F8-G8-D9-D11</f>
        <v>290076.99000000005</v>
      </c>
      <c r="F8" s="256">
        <f>'DOE25'!J203+'DOE25'!J221+'DOE25'!J239</f>
        <v>0</v>
      </c>
      <c r="G8" s="53">
        <f>'DOE25'!K203+'DOE25'!K221+'DOE25'!K239</f>
        <v>7774.28</v>
      </c>
      <c r="H8" s="260"/>
    </row>
    <row r="9" spans="1:9">
      <c r="A9" s="32">
        <v>2310</v>
      </c>
      <c r="B9" t="s">
        <v>818</v>
      </c>
      <c r="C9" s="246">
        <f t="shared" si="0"/>
        <v>92680.59</v>
      </c>
      <c r="D9" s="245">
        <v>92680.59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7800</v>
      </c>
      <c r="D10" s="244"/>
      <c r="E10" s="245">
        <v>7800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106793.17</v>
      </c>
      <c r="D11" s="245">
        <v>106793.17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690693.46000000008</v>
      </c>
      <c r="D12" s="20">
        <f>'DOE25'!L204+'DOE25'!L222+'DOE25'!L240-F12-G12</f>
        <v>650130.50000000012</v>
      </c>
      <c r="E12" s="244"/>
      <c r="F12" s="256">
        <f>'DOE25'!J204+'DOE25'!J222+'DOE25'!J240</f>
        <v>179</v>
      </c>
      <c r="G12" s="53">
        <f>'DOE25'!K204+'DOE25'!K222+'DOE25'!K240</f>
        <v>40383.96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1187927.3899999997</v>
      </c>
      <c r="D14" s="20">
        <f>'DOE25'!L206+'DOE25'!L224+'DOE25'!L242-F14-G14</f>
        <v>1176323.0799999998</v>
      </c>
      <c r="E14" s="244"/>
      <c r="F14" s="256">
        <f>'DOE25'!J206+'DOE25'!J224+'DOE25'!J242</f>
        <v>11315.9</v>
      </c>
      <c r="G14" s="53">
        <f>'DOE25'!K206+'DOE25'!K224+'DOE25'!K242</f>
        <v>288.41000000000003</v>
      </c>
      <c r="H14" s="260"/>
    </row>
    <row r="15" spans="1:9">
      <c r="A15" s="32">
        <v>2700</v>
      </c>
      <c r="B15" t="s">
        <v>804</v>
      </c>
      <c r="C15" s="246">
        <f t="shared" si="0"/>
        <v>540864.68000000005</v>
      </c>
      <c r="D15" s="20">
        <f>'DOE25'!L207+'DOE25'!L225+'DOE25'!L243-F15-G15</f>
        <v>540864.68000000005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502250</v>
      </c>
      <c r="D25" s="244"/>
      <c r="E25" s="244"/>
      <c r="F25" s="259"/>
      <c r="G25" s="257"/>
      <c r="H25" s="258">
        <f>'DOE25'!L259+'DOE25'!L260+'DOE25'!L340+'DOE25'!L341</f>
        <v>502250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191199.44000000003</v>
      </c>
      <c r="D29" s="20">
        <f>'DOE25'!L357+'DOE25'!L358+'DOE25'!L359-'DOE25'!I366-F29-G29</f>
        <v>186617.19000000003</v>
      </c>
      <c r="E29" s="244"/>
      <c r="F29" s="256">
        <f>'DOE25'!J357+'DOE25'!J358+'DOE25'!J359</f>
        <v>3542</v>
      </c>
      <c r="G29" s="53">
        <f>'DOE25'!K357+'DOE25'!K358+'DOE25'!K359</f>
        <v>1040.25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113364.29000000001</v>
      </c>
      <c r="D31" s="20">
        <f>'DOE25'!L289+'DOE25'!L308+'DOE25'!L327+'DOE25'!L332+'DOE25'!L333+'DOE25'!L334-F31-G31</f>
        <v>111162.42000000001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2201.87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12323476.289999997</v>
      </c>
      <c r="E33" s="247">
        <f>SUM(E5:E31)</f>
        <v>297876.99000000005</v>
      </c>
      <c r="F33" s="247">
        <f>SUM(F5:F31)</f>
        <v>200188.9</v>
      </c>
      <c r="G33" s="247">
        <f>SUM(G5:G31)</f>
        <v>170025.53</v>
      </c>
      <c r="H33" s="247">
        <f>SUM(H5:H31)</f>
        <v>502250</v>
      </c>
    </row>
    <row r="35" spans="2:8" ht="12" thickBot="1">
      <c r="B35" s="254" t="s">
        <v>847</v>
      </c>
      <c r="D35" s="255">
        <f>E33</f>
        <v>297876.99000000005</v>
      </c>
      <c r="E35" s="250"/>
    </row>
    <row r="36" spans="2:8" ht="12" thickTop="1">
      <c r="B36" t="s">
        <v>815</v>
      </c>
      <c r="D36" s="20">
        <f>D33</f>
        <v>12323476.289999997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JOHN STARK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872578.46</v>
      </c>
      <c r="D8" s="95">
        <f>'DOE25'!G9</f>
        <v>77002.39</v>
      </c>
      <c r="E8" s="95">
        <f>'DOE25'!H9</f>
        <v>-35263.660000000003</v>
      </c>
      <c r="F8" s="95">
        <f>'DOE25'!I9</f>
        <v>0</v>
      </c>
      <c r="G8" s="95">
        <f>'DOE25'!J9</f>
        <v>219481.8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82.7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181.03</v>
      </c>
      <c r="D12" s="95">
        <f>'DOE25'!G13</f>
        <v>12202.31</v>
      </c>
      <c r="E12" s="95">
        <f>'DOE25'!H13</f>
        <v>35379.25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6082.7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878842.19</v>
      </c>
      <c r="D18" s="41">
        <f>SUM(D8:D17)</f>
        <v>89287.4</v>
      </c>
      <c r="E18" s="41">
        <f>SUM(E8:E17)</f>
        <v>115.58999999999651</v>
      </c>
      <c r="F18" s="41">
        <f>SUM(F8:F17)</f>
        <v>0</v>
      </c>
      <c r="G18" s="41">
        <f>SUM(G8:G17)</f>
        <v>219481.8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82.7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16302.14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52230.65</v>
      </c>
      <c r="D24" s="95">
        <f>'DOE25'!G25</f>
        <v>30000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2988.54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1706.74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71604.03</v>
      </c>
      <c r="D31" s="41">
        <f>SUM(D21:D30)</f>
        <v>31706.74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57580.66</v>
      </c>
      <c r="E46" s="95">
        <f>'DOE25'!H47</f>
        <v>115.59</v>
      </c>
      <c r="F46" s="95">
        <f>'DOE25'!I47</f>
        <v>0</v>
      </c>
      <c r="G46" s="95">
        <f>'DOE25'!J47</f>
        <v>219481.8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707238.16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807238.16</v>
      </c>
      <c r="D49" s="41">
        <f>SUM(D34:D48)</f>
        <v>57580.66</v>
      </c>
      <c r="E49" s="41">
        <f>SUM(E34:E48)</f>
        <v>115.59</v>
      </c>
      <c r="F49" s="41">
        <f>SUM(F34:F48)</f>
        <v>0</v>
      </c>
      <c r="G49" s="41">
        <f>SUM(G34:G48)</f>
        <v>219481.8</v>
      </c>
      <c r="H49" s="124"/>
      <c r="I49" s="124"/>
    </row>
    <row r="50" spans="1:9" ht="12" thickTop="1">
      <c r="A50" s="38" t="s">
        <v>895</v>
      </c>
      <c r="B50" s="2"/>
      <c r="C50" s="41">
        <f>C49+C31</f>
        <v>878842.19000000006</v>
      </c>
      <c r="D50" s="41">
        <f>D49+D31</f>
        <v>89287.400000000009</v>
      </c>
      <c r="E50" s="41">
        <f>E49+E31</f>
        <v>115.59</v>
      </c>
      <c r="F50" s="41">
        <f>F49+F31</f>
        <v>0</v>
      </c>
      <c r="G50" s="41">
        <f>G49+G31</f>
        <v>219481.8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7884429</v>
      </c>
      <c r="D55" s="95">
        <f>'DOE25'!G59</f>
        <v>87000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46128.61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1959.83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90.67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227648.3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18737.98</v>
      </c>
      <c r="D60" s="95">
        <f>SUM('DOE25'!G97:G109)</f>
        <v>1103.56</v>
      </c>
      <c r="E60" s="95">
        <f>SUM('DOE25'!H97:H109)</f>
        <v>2390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66826.42</v>
      </c>
      <c r="D61" s="130">
        <f>SUM(D56:D60)</f>
        <v>228751.86</v>
      </c>
      <c r="E61" s="130">
        <f>SUM(E56:E60)</f>
        <v>2390</v>
      </c>
      <c r="F61" s="130">
        <f>SUM(F56:F60)</f>
        <v>0</v>
      </c>
      <c r="G61" s="130">
        <f>SUM(G56:G60)</f>
        <v>90.67</v>
      </c>
      <c r="H61"/>
      <c r="I61"/>
    </row>
    <row r="62" spans="1:9" ht="12" thickTop="1">
      <c r="A62" s="29" t="s">
        <v>175</v>
      </c>
      <c r="B62" s="6"/>
      <c r="C62" s="22">
        <f>C55+C61</f>
        <v>7951255.4199999999</v>
      </c>
      <c r="D62" s="22">
        <f>D55+D61</f>
        <v>315751.86</v>
      </c>
      <c r="E62" s="22">
        <f>E55+E61</f>
        <v>2390</v>
      </c>
      <c r="F62" s="22">
        <f>F55+F61</f>
        <v>0</v>
      </c>
      <c r="G62" s="22">
        <f>G55+G61</f>
        <v>90.67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3828053.25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1029417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3316.75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11125.76</v>
      </c>
      <c r="D68" s="95">
        <f>'DOE25'!G119</f>
        <v>0</v>
      </c>
      <c r="E68" s="95">
        <f>'DOE25'!H119</f>
        <v>343.88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4871912.76</v>
      </c>
      <c r="D69" s="139">
        <f>D68</f>
        <v>0</v>
      </c>
      <c r="E69" s="139">
        <f>E68</f>
        <v>343.88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220315.12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525963.06000000006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12037.74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3300</v>
      </c>
      <c r="D76" s="95">
        <f>SUM('DOE25'!G130:G134)</f>
        <v>2686.08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761615.92</v>
      </c>
      <c r="D77" s="130">
        <f>SUM(D71:D76)</f>
        <v>2686.08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5633528.6799999997</v>
      </c>
      <c r="D80" s="130">
        <f>SUM(D78:D79)+D77+D69</f>
        <v>2686.08</v>
      </c>
      <c r="E80" s="130">
        <f>SUM(E78:E79)+E77+E69</f>
        <v>343.88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215830.01</v>
      </c>
      <c r="D87" s="95">
        <f>SUM('DOE25'!G152:G160)</f>
        <v>65290.41</v>
      </c>
      <c r="E87" s="95">
        <f>SUM('DOE25'!H152:H160)</f>
        <v>160496.19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215830.01</v>
      </c>
      <c r="D90" s="131">
        <f>SUM(D84:D89)</f>
        <v>65290.41</v>
      </c>
      <c r="E90" s="131">
        <f>SUM(E84:E89)</f>
        <v>160496.19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82.7</v>
      </c>
      <c r="E95" s="95">
        <f>'DOE25'!H178</f>
        <v>0</v>
      </c>
      <c r="F95" s="95">
        <f>'DOE25'!I178</f>
        <v>0</v>
      </c>
      <c r="G95" s="95">
        <f>'DOE25'!J178</f>
        <v>10000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82.7</v>
      </c>
      <c r="E102" s="86">
        <f>SUM(E92:E101)</f>
        <v>0</v>
      </c>
      <c r="F102" s="86">
        <f>SUM(F92:F101)</f>
        <v>0</v>
      </c>
      <c r="G102" s="86">
        <f>SUM(G92:G101)</f>
        <v>10000</v>
      </c>
    </row>
    <row r="103" spans="1:7" ht="12.75" thickTop="1" thickBot="1">
      <c r="A103" s="33" t="s">
        <v>765</v>
      </c>
      <c r="C103" s="86">
        <f>C62+C80+C90+C102</f>
        <v>13800614.109999999</v>
      </c>
      <c r="D103" s="86">
        <f>D62+D80+D90+D102</f>
        <v>383811.05</v>
      </c>
      <c r="E103" s="86">
        <f>E62+E80+E90+E102</f>
        <v>163230.07</v>
      </c>
      <c r="F103" s="86">
        <f>F62+F80+F90+F102</f>
        <v>0</v>
      </c>
      <c r="G103" s="86">
        <f>G62+G80+G102</f>
        <v>10090.67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4801857.3599999994</v>
      </c>
      <c r="D108" s="24" t="s">
        <v>289</v>
      </c>
      <c r="E108" s="95">
        <f>('DOE25'!L275)+('DOE25'!L294)+('DOE25'!L313)</f>
        <v>94633.44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2937675.05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89735.66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638566.14999999991</v>
      </c>
      <c r="D111" s="24" t="s">
        <v>289</v>
      </c>
      <c r="E111" s="95">
        <f>+('DOE25'!L278)+('DOE25'!L297)+('DOE25'!L316)</f>
        <v>1890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8467834.2199999988</v>
      </c>
      <c r="D114" s="86">
        <f>SUM(D108:D113)</f>
        <v>0</v>
      </c>
      <c r="E114" s="86">
        <f>SUM(E108:E113)</f>
        <v>96523.44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820431.55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474127.64999999997</v>
      </c>
      <c r="D118" s="24" t="s">
        <v>289</v>
      </c>
      <c r="E118" s="95">
        <f>+('DOE25'!L281)+('DOE25'!L300)+('DOE25'!L319)</f>
        <v>16185.099999999999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497325.03</v>
      </c>
      <c r="D119" s="24" t="s">
        <v>289</v>
      </c>
      <c r="E119" s="95">
        <f>+('DOE25'!L282)+('DOE25'!L301)+('DOE25'!L320)</f>
        <v>311.87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690693.46000000008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1187927.3899999997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540864.68000000005</v>
      </c>
      <c r="D123" s="24" t="s">
        <v>289</v>
      </c>
      <c r="E123" s="95">
        <f>+('DOE25'!L286)+('DOE25'!L305)+('DOE25'!L324)</f>
        <v>343.88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346438.02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4211369.76</v>
      </c>
      <c r="D127" s="86">
        <f>SUM(D117:D126)</f>
        <v>346438.02</v>
      </c>
      <c r="E127" s="86">
        <f>SUM(E117:E126)</f>
        <v>16840.849999999999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490000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12250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82.7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26.81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10063.86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-90.670000000000073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49750.19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512332.7</v>
      </c>
      <c r="D143" s="141">
        <f>SUM(D129:D142)</f>
        <v>0</v>
      </c>
      <c r="E143" s="141">
        <f>SUM(E129:E142)</f>
        <v>49750.19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13191536.679999998</v>
      </c>
      <c r="D144" s="86">
        <f>(D114+D127+D143)</f>
        <v>346438.02</v>
      </c>
      <c r="E144" s="86">
        <f>(E114+E127+E143)</f>
        <v>163114.48000000001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7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7/22/04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8/15/11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3516000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3.27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490000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490000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490000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490000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JOHN STARK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0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15654</v>
      </c>
    </row>
    <row r="7" spans="1:4">
      <c r="B7" t="s">
        <v>705</v>
      </c>
      <c r="C7" s="179">
        <f>IF('DOE25'!I664+'DOE25'!I669=0,0,ROUND('DOE25'!I671,0))</f>
        <v>15654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4896491</v>
      </c>
      <c r="D10" s="182">
        <f>ROUND((C10/$C$28)*100,1)</f>
        <v>37.700000000000003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2937675</v>
      </c>
      <c r="D11" s="182">
        <f>ROUND((C11/$C$28)*100,1)</f>
        <v>22.6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89736</v>
      </c>
      <c r="D12" s="182">
        <f>ROUND((C12/$C$28)*100,1)</f>
        <v>0.7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640456</v>
      </c>
      <c r="D13" s="182">
        <f>ROUND((C13/$C$28)*100,1)</f>
        <v>4.9000000000000004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820432</v>
      </c>
      <c r="D15" s="182">
        <f t="shared" ref="D15:D27" si="0">ROUND((C15/$C$28)*100,1)</f>
        <v>6.3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490313</v>
      </c>
      <c r="D16" s="182">
        <f t="shared" si="0"/>
        <v>3.8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497637</v>
      </c>
      <c r="D17" s="182">
        <f t="shared" si="0"/>
        <v>3.8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690693</v>
      </c>
      <c r="D18" s="182">
        <f t="shared" si="0"/>
        <v>5.3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1187927</v>
      </c>
      <c r="D20" s="182">
        <f t="shared" si="0"/>
        <v>9.1999999999999993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541209</v>
      </c>
      <c r="D21" s="182">
        <f t="shared" si="0"/>
        <v>4.2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12250</v>
      </c>
      <c r="D25" s="182">
        <f t="shared" si="0"/>
        <v>0.1</v>
      </c>
    </row>
    <row r="26" spans="1:4">
      <c r="A26" s="183" t="s">
        <v>721</v>
      </c>
      <c r="B26" t="s">
        <v>722</v>
      </c>
      <c r="C26" s="179">
        <f>'DOE25'!L267+'DOE25'!L268+'DOE25'!L348+'DOE25'!L349</f>
        <v>49750.19</v>
      </c>
      <c r="D26" s="182">
        <f t="shared" si="0"/>
        <v>0.4</v>
      </c>
    </row>
    <row r="27" spans="1:4">
      <c r="A27">
        <v>3100</v>
      </c>
      <c r="B27" t="s">
        <v>11</v>
      </c>
      <c r="C27" s="179">
        <f>ROUND('DOE25'!L361-'DOE25'!L360,0)-SUM('DOE25'!G96:G109)</f>
        <v>117686.14000000001</v>
      </c>
      <c r="D27" s="182">
        <f t="shared" si="0"/>
        <v>0.9</v>
      </c>
    </row>
    <row r="28" spans="1:4">
      <c r="B28" s="187" t="s">
        <v>723</v>
      </c>
      <c r="C28" s="180">
        <f>SUM(C10:C27)</f>
        <v>12972255.33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12972255.33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490000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7971429</v>
      </c>
      <c r="D35" s="182">
        <f t="shared" ref="D35:D40" si="1">ROUND((C35/$C$41)*100,1)</f>
        <v>56.5</v>
      </c>
    </row>
    <row r="36" spans="1:4">
      <c r="B36" s="185" t="s">
        <v>743</v>
      </c>
      <c r="C36" s="179">
        <f>SUM('DOE25'!F111:J111)-SUM('DOE25'!G96:G109)+('DOE25'!F173+'DOE25'!F174+'DOE25'!I173+'DOE25'!I174)-C35</f>
        <v>69307.089999999851</v>
      </c>
      <c r="D36" s="182">
        <f t="shared" si="1"/>
        <v>0.5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4860787</v>
      </c>
      <c r="D37" s="182">
        <f t="shared" si="1"/>
        <v>34.4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775772</v>
      </c>
      <c r="D38" s="182">
        <f t="shared" si="1"/>
        <v>5.5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441617</v>
      </c>
      <c r="D39" s="182">
        <f t="shared" si="1"/>
        <v>3.1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14118912.09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88" t="str">
        <f>'DOE25'!A2</f>
        <v>JOHN STARK SCHOOL DISTRICT</v>
      </c>
      <c r="G2" s="289"/>
      <c r="H2" s="289"/>
      <c r="I2" s="289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2012-08-31T15:14:30Z</cp:lastPrinted>
  <dcterms:created xsi:type="dcterms:W3CDTF">1997-12-04T19:04:30Z</dcterms:created>
  <dcterms:modified xsi:type="dcterms:W3CDTF">2012-11-21T14:52:37Z</dcterms:modified>
</cp:coreProperties>
</file>