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F49" i="1" l="1"/>
  <c r="F48" i="1"/>
  <c r="F13" i="1"/>
  <c r="C12" i="2" s="1"/>
  <c r="F56" i="1"/>
  <c r="K263" i="1"/>
  <c r="H542" i="1"/>
  <c r="H541" i="1"/>
  <c r="H540" i="1"/>
  <c r="H583" i="1"/>
  <c r="H527" i="1"/>
  <c r="H526" i="1"/>
  <c r="H525" i="1"/>
  <c r="I521" i="1"/>
  <c r="G521" i="1"/>
  <c r="F521" i="1"/>
  <c r="J522" i="1"/>
  <c r="I522" i="1"/>
  <c r="G522" i="1"/>
  <c r="F522" i="1"/>
  <c r="K520" i="1"/>
  <c r="J520" i="1"/>
  <c r="I520" i="1"/>
  <c r="G520" i="1"/>
  <c r="F520" i="1"/>
  <c r="K522" i="1"/>
  <c r="K521" i="1"/>
  <c r="H500" i="1"/>
  <c r="H496" i="1"/>
  <c r="K269" i="1"/>
  <c r="F59" i="1"/>
  <c r="F50" i="1"/>
  <c r="I47" i="1"/>
  <c r="H22" i="1"/>
  <c r="H12" i="1"/>
  <c r="H30" i="1"/>
  <c r="H24" i="1"/>
  <c r="H13" i="1"/>
  <c r="E12" i="2" s="1"/>
  <c r="E18" i="2" s="1"/>
  <c r="G13" i="1"/>
  <c r="G12" i="1"/>
  <c r="F12" i="1"/>
  <c r="F28" i="1"/>
  <c r="F10" i="1"/>
  <c r="C9" i="2" s="1"/>
  <c r="F9" i="1"/>
  <c r="I95" i="1"/>
  <c r="I399" i="1"/>
  <c r="J497" i="1"/>
  <c r="I497" i="1"/>
  <c r="E158" i="2" s="1"/>
  <c r="H497" i="1"/>
  <c r="G497" i="1"/>
  <c r="C158" i="2" s="1"/>
  <c r="F497" i="1"/>
  <c r="B158" i="2" s="1"/>
  <c r="D158" i="2"/>
  <c r="F158" i="2"/>
  <c r="F95" i="1"/>
  <c r="F175" i="1"/>
  <c r="H319" i="1"/>
  <c r="H300" i="1"/>
  <c r="H281" i="1"/>
  <c r="H233" i="1"/>
  <c r="H522" i="1" s="1"/>
  <c r="L522" i="1" s="1"/>
  <c r="F550" i="1" s="1"/>
  <c r="H215" i="1"/>
  <c r="H521" i="1" s="1"/>
  <c r="L521" i="1" s="1"/>
  <c r="F549" i="1" s="1"/>
  <c r="H197" i="1"/>
  <c r="H520" i="1" s="1"/>
  <c r="L520" i="1" s="1"/>
  <c r="F548" i="1" s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G6" i="13"/>
  <c r="G7" i="13"/>
  <c r="G12" i="13"/>
  <c r="G14" i="13"/>
  <c r="G15" i="13"/>
  <c r="G17" i="13"/>
  <c r="G18" i="13"/>
  <c r="G19" i="13"/>
  <c r="G29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L201" i="1"/>
  <c r="L219" i="1"/>
  <c r="L237" i="1"/>
  <c r="F7" i="13"/>
  <c r="L202" i="1"/>
  <c r="L220" i="1"/>
  <c r="L238" i="1"/>
  <c r="F12" i="13"/>
  <c r="L204" i="1"/>
  <c r="L222" i="1"/>
  <c r="L240" i="1"/>
  <c r="F14" i="13"/>
  <c r="L206" i="1"/>
  <c r="L224" i="1"/>
  <c r="L242" i="1"/>
  <c r="F15" i="13"/>
  <c r="L207" i="1"/>
  <c r="L225" i="1"/>
  <c r="L243" i="1"/>
  <c r="F17" i="13"/>
  <c r="L250" i="1"/>
  <c r="F18" i="13"/>
  <c r="L251" i="1"/>
  <c r="F19" i="13"/>
  <c r="L252" i="1"/>
  <c r="F29" i="13"/>
  <c r="L357" i="1"/>
  <c r="L358" i="1"/>
  <c r="L359" i="1"/>
  <c r="I366" i="1"/>
  <c r="J289" i="1"/>
  <c r="J308" i="1"/>
  <c r="J327" i="1"/>
  <c r="F31" i="13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G471" i="1" s="1"/>
  <c r="H634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L610" i="1"/>
  <c r="C40" i="10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7" i="10"/>
  <c r="C18" i="10"/>
  <c r="C19" i="10"/>
  <c r="C21" i="10"/>
  <c r="L249" i="1"/>
  <c r="L331" i="1"/>
  <c r="L253" i="1"/>
  <c r="C24" i="10" s="1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I661" i="1" s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J9" i="1"/>
  <c r="D9" i="2"/>
  <c r="E9" i="2"/>
  <c r="F9" i="2"/>
  <c r="I439" i="1"/>
  <c r="J10" i="1" s="1"/>
  <c r="G9" i="2" s="1"/>
  <c r="C10" i="2"/>
  <c r="D11" i="2"/>
  <c r="E11" i="2"/>
  <c r="F11" i="2"/>
  <c r="I440" i="1"/>
  <c r="J12" i="1"/>
  <c r="G11" i="2" s="1"/>
  <c r="D12" i="2"/>
  <c r="D13" i="2"/>
  <c r="D15" i="2"/>
  <c r="D16" i="2"/>
  <c r="D17" i="2"/>
  <c r="F12" i="2"/>
  <c r="I441" i="1"/>
  <c r="J13" i="1"/>
  <c r="C13" i="2"/>
  <c r="E13" i="2"/>
  <c r="F13" i="2"/>
  <c r="I442" i="1"/>
  <c r="J14" i="1" s="1"/>
  <c r="G13" i="2" s="1"/>
  <c r="F14" i="2"/>
  <c r="C15" i="2"/>
  <c r="E15" i="2"/>
  <c r="F15" i="2"/>
  <c r="C16" i="2"/>
  <c r="E16" i="2"/>
  <c r="F16" i="2"/>
  <c r="I443" i="1"/>
  <c r="J17" i="1" s="1"/>
  <c r="G16" i="2" s="1"/>
  <c r="C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F71" i="2"/>
  <c r="F72" i="2"/>
  <c r="F77" i="2" s="1"/>
  <c r="F80" i="2" s="1"/>
  <c r="F103" i="2" s="1"/>
  <c r="F75" i="2"/>
  <c r="F76" i="2"/>
  <c r="G68" i="2"/>
  <c r="G69" i="2" s="1"/>
  <c r="C71" i="2"/>
  <c r="C72" i="2"/>
  <c r="C73" i="2"/>
  <c r="C74" i="2"/>
  <c r="C75" i="2"/>
  <c r="E75" i="2"/>
  <c r="C76" i="2"/>
  <c r="D76" i="2"/>
  <c r="D77" i="2" s="1"/>
  <c r="D80" i="2" s="1"/>
  <c r="E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E87" i="2"/>
  <c r="E88" i="2"/>
  <c r="F86" i="2"/>
  <c r="C87" i="2"/>
  <c r="D87" i="2"/>
  <c r="F87" i="2"/>
  <c r="C88" i="2"/>
  <c r="D88" i="2"/>
  <c r="F88" i="2"/>
  <c r="C89" i="2"/>
  <c r="C92" i="2"/>
  <c r="F92" i="2"/>
  <c r="C93" i="2"/>
  <c r="F93" i="2"/>
  <c r="D95" i="2"/>
  <c r="D96" i="2"/>
  <c r="D97" i="2"/>
  <c r="D98" i="2"/>
  <c r="D99" i="2"/>
  <c r="D100" i="2"/>
  <c r="D101" i="2"/>
  <c r="E95" i="2"/>
  <c r="F95" i="2"/>
  <c r="G95" i="2"/>
  <c r="C96" i="2"/>
  <c r="E96" i="2"/>
  <c r="F96" i="2"/>
  <c r="G96" i="2"/>
  <c r="C97" i="2"/>
  <c r="E97" i="2"/>
  <c r="G97" i="2"/>
  <c r="C98" i="2"/>
  <c r="E98" i="2"/>
  <c r="F98" i="2"/>
  <c r="C99" i="2"/>
  <c r="E99" i="2"/>
  <c r="F99" i="2"/>
  <c r="C100" i="2"/>
  <c r="E100" i="2"/>
  <c r="F100" i="2"/>
  <c r="C101" i="2"/>
  <c r="E101" i="2"/>
  <c r="F101" i="2"/>
  <c r="C108" i="2"/>
  <c r="E108" i="2"/>
  <c r="C109" i="2"/>
  <c r="C110" i="2"/>
  <c r="C111" i="2"/>
  <c r="C112" i="2"/>
  <c r="C113" i="2"/>
  <c r="E109" i="2"/>
  <c r="E110" i="2"/>
  <c r="E111" i="2"/>
  <c r="E112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B157" i="2"/>
  <c r="C157" i="2"/>
  <c r="D157" i="2"/>
  <c r="E157" i="2"/>
  <c r="F157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I19" i="1"/>
  <c r="F32" i="1"/>
  <c r="G32" i="1"/>
  <c r="I32" i="1"/>
  <c r="F51" i="1"/>
  <c r="H616" i="1" s="1"/>
  <c r="G50" i="1"/>
  <c r="H50" i="1"/>
  <c r="G623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 s="1"/>
  <c r="F210" i="1"/>
  <c r="G210" i="1"/>
  <c r="H210" i="1"/>
  <c r="I210" i="1"/>
  <c r="J210" i="1"/>
  <c r="H603" i="1" s="1"/>
  <c r="F662" i="1" s="1"/>
  <c r="K210" i="1"/>
  <c r="F228" i="1"/>
  <c r="G228" i="1"/>
  <c r="H228" i="1"/>
  <c r="I228" i="1"/>
  <c r="J228" i="1"/>
  <c r="I603" i="1" s="1"/>
  <c r="G662" i="1" s="1"/>
  <c r="K228" i="1"/>
  <c r="F246" i="1"/>
  <c r="G246" i="1"/>
  <c r="H246" i="1"/>
  <c r="I246" i="1"/>
  <c r="J246" i="1"/>
  <c r="J603" i="1" s="1"/>
  <c r="H662" i="1" s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/>
  <c r="L380" i="1"/>
  <c r="L381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J433" i="1" s="1"/>
  <c r="L428" i="1"/>
  <c r="L429" i="1"/>
  <c r="L430" i="1"/>
  <c r="L431" i="1"/>
  <c r="F432" i="1"/>
  <c r="G432" i="1"/>
  <c r="G433" i="1" s="1"/>
  <c r="H432" i="1"/>
  <c r="I432" i="1"/>
  <c r="I433" i="1" s="1"/>
  <c r="J432" i="1"/>
  <c r="F433" i="1"/>
  <c r="F445" i="1"/>
  <c r="G445" i="1"/>
  <c r="G639" i="1" s="1"/>
  <c r="H445" i="1"/>
  <c r="G640" i="1" s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I460" i="1"/>
  <c r="H641" i="1" s="1"/>
  <c r="G473" i="1"/>
  <c r="J473" i="1"/>
  <c r="K494" i="1"/>
  <c r="K496" i="1"/>
  <c r="K497" i="1"/>
  <c r="K498" i="1"/>
  <c r="K500" i="1"/>
  <c r="K501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F544" i="1" s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F570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G648" i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2" i="1"/>
  <c r="G624" i="1"/>
  <c r="G633" i="1"/>
  <c r="J633" i="1" s="1"/>
  <c r="H637" i="1"/>
  <c r="G638" i="1"/>
  <c r="H638" i="1"/>
  <c r="G642" i="1"/>
  <c r="J642" i="1" s="1"/>
  <c r="H642" i="1"/>
  <c r="G643" i="1"/>
  <c r="H643" i="1"/>
  <c r="G644" i="1"/>
  <c r="H646" i="1"/>
  <c r="G649" i="1"/>
  <c r="G650" i="1"/>
  <c r="G651" i="1"/>
  <c r="H651" i="1"/>
  <c r="J651" i="1"/>
  <c r="G652" i="1"/>
  <c r="H652" i="1"/>
  <c r="J652" i="1" s="1"/>
  <c r="G653" i="1"/>
  <c r="H653" i="1"/>
  <c r="H654" i="1"/>
  <c r="J654" i="1"/>
  <c r="F191" i="1"/>
  <c r="K256" i="1"/>
  <c r="K270" i="1" s="1"/>
  <c r="I256" i="1"/>
  <c r="I270" i="1" s="1"/>
  <c r="G256" i="1"/>
  <c r="G270" i="1" s="1"/>
  <c r="F31" i="2"/>
  <c r="C26" i="10"/>
  <c r="L327" i="1"/>
  <c r="H659" i="1" s="1"/>
  <c r="H663" i="1" s="1"/>
  <c r="L350" i="1"/>
  <c r="L289" i="1"/>
  <c r="F65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7" i="13"/>
  <c r="C17" i="13"/>
  <c r="D6" i="13"/>
  <c r="C6" i="13"/>
  <c r="E8" i="13"/>
  <c r="C8" i="13"/>
  <c r="C90" i="2"/>
  <c r="G80" i="2"/>
  <c r="F61" i="2"/>
  <c r="F62" i="2"/>
  <c r="F90" i="2"/>
  <c r="C127" i="2"/>
  <c r="C77" i="2"/>
  <c r="D49" i="2"/>
  <c r="F49" i="2"/>
  <c r="F18" i="2"/>
  <c r="G162" i="2"/>
  <c r="G157" i="2"/>
  <c r="G155" i="2"/>
  <c r="E143" i="2"/>
  <c r="E114" i="2"/>
  <c r="G102" i="2"/>
  <c r="E102" i="2"/>
  <c r="C102" i="2"/>
  <c r="D90" i="2"/>
  <c r="E61" i="2"/>
  <c r="E62" i="2"/>
  <c r="E77" i="2"/>
  <c r="E80" i="2"/>
  <c r="C61" i="2"/>
  <c r="C62" i="2" s="1"/>
  <c r="C31" i="2"/>
  <c r="G61" i="2"/>
  <c r="D29" i="13"/>
  <c r="C29" i="13" s="1"/>
  <c r="D19" i="13"/>
  <c r="C19" i="13" s="1"/>
  <c r="D14" i="13"/>
  <c r="C14" i="13" s="1"/>
  <c r="E13" i="13"/>
  <c r="C13" i="13" s="1"/>
  <c r="C80" i="2"/>
  <c r="L426" i="1"/>
  <c r="J256" i="1"/>
  <c r="H111" i="1"/>
  <c r="K604" i="1"/>
  <c r="G647" i="1" s="1"/>
  <c r="J570" i="1"/>
  <c r="L432" i="1"/>
  <c r="L418" i="1"/>
  <c r="I168" i="1"/>
  <c r="H168" i="1"/>
  <c r="J270" i="1"/>
  <c r="G551" i="1"/>
  <c r="G337" i="1"/>
  <c r="G351" i="1" s="1"/>
  <c r="C23" i="10"/>
  <c r="F168" i="1"/>
  <c r="J139" i="1"/>
  <c r="H256" i="1"/>
  <c r="H270" i="1"/>
  <c r="G62" i="2"/>
  <c r="F663" i="1"/>
  <c r="F671" i="1" s="1"/>
  <c r="C4" i="10" s="1"/>
  <c r="G12" i="2"/>
  <c r="I551" i="1"/>
  <c r="K548" i="1"/>
  <c r="J32" i="1"/>
  <c r="K597" i="1"/>
  <c r="G646" i="1"/>
  <c r="J646" i="1" s="1"/>
  <c r="J551" i="1"/>
  <c r="H551" i="1"/>
  <c r="I660" i="1"/>
  <c r="H139" i="1"/>
  <c r="L400" i="1"/>
  <c r="C138" i="2" s="1"/>
  <c r="L392" i="1"/>
  <c r="C137" i="2" s="1"/>
  <c r="A13" i="12"/>
  <c r="F22" i="13"/>
  <c r="F33" i="13"/>
  <c r="H25" i="13"/>
  <c r="H570" i="1"/>
  <c r="L559" i="1"/>
  <c r="J544" i="1"/>
  <c r="L336" i="1"/>
  <c r="H337" i="1"/>
  <c r="H351" i="1" s="1"/>
  <c r="F337" i="1"/>
  <c r="F351" i="1" s="1"/>
  <c r="G191" i="1"/>
  <c r="H191" i="1"/>
  <c r="E127" i="2"/>
  <c r="E144" i="2"/>
  <c r="C35" i="10"/>
  <c r="L308" i="1"/>
  <c r="G659" i="1" s="1"/>
  <c r="D5" i="13"/>
  <c r="C5" i="13" s="1"/>
  <c r="E16" i="13"/>
  <c r="E33" i="13" s="1"/>
  <c r="D35" i="13" s="1"/>
  <c r="C49" i="2"/>
  <c r="L569" i="1"/>
  <c r="I570" i="1"/>
  <c r="I544" i="1"/>
  <c r="H192" i="1"/>
  <c r="H467" i="1" s="1"/>
  <c r="H628" i="1" s="1"/>
  <c r="L564" i="1"/>
  <c r="L570" i="1"/>
  <c r="G544" i="1"/>
  <c r="L544" i="1"/>
  <c r="H544" i="1"/>
  <c r="K550" i="1"/>
  <c r="C22" i="13"/>
  <c r="C16" i="13"/>
  <c r="C25" i="13"/>
  <c r="H33" i="13"/>
  <c r="F666" i="1"/>
  <c r="J638" i="1"/>
  <c r="F50" i="2"/>
  <c r="E29" i="2"/>
  <c r="E31" i="2"/>
  <c r="E50" i="2" s="1"/>
  <c r="H19" i="1"/>
  <c r="G618" i="1" s="1"/>
  <c r="G51" i="1"/>
  <c r="H617" i="1" s="1"/>
  <c r="D31" i="2"/>
  <c r="D50" i="2"/>
  <c r="G621" i="1"/>
  <c r="C11" i="2"/>
  <c r="C18" i="2" s="1"/>
  <c r="F129" i="2"/>
  <c r="F143" i="2" s="1"/>
  <c r="F144" i="2" s="1"/>
  <c r="G159" i="2"/>
  <c r="K499" i="1"/>
  <c r="F156" i="2"/>
  <c r="G156" i="2" s="1"/>
  <c r="K495" i="1"/>
  <c r="G103" i="2"/>
  <c r="L433" i="1"/>
  <c r="G637" i="1"/>
  <c r="J637" i="1" s="1"/>
  <c r="G8" i="2"/>
  <c r="G18" i="2" s="1"/>
  <c r="J19" i="1"/>
  <c r="G620" i="1" s="1"/>
  <c r="C50" i="2"/>
  <c r="K549" i="1"/>
  <c r="K551" i="1" s="1"/>
  <c r="C39" i="10"/>
  <c r="F551" i="1"/>
  <c r="C27" i="10"/>
  <c r="G634" i="1"/>
  <c r="J634" i="1" s="1"/>
  <c r="K502" i="1"/>
  <c r="G36" i="2" l="1"/>
  <c r="G49" i="2" s="1"/>
  <c r="J50" i="1"/>
  <c r="J639" i="1"/>
  <c r="K544" i="1"/>
  <c r="J192" i="1"/>
  <c r="C114" i="2"/>
  <c r="E90" i="2"/>
  <c r="E103" i="2" s="1"/>
  <c r="D18" i="2"/>
  <c r="L406" i="1"/>
  <c r="C25" i="10"/>
  <c r="F19" i="1"/>
  <c r="G616" i="1" s="1"/>
  <c r="J616" i="1" s="1"/>
  <c r="G19" i="1"/>
  <c r="G617" i="1" s="1"/>
  <c r="J617" i="1" s="1"/>
  <c r="F111" i="1"/>
  <c r="L337" i="1"/>
  <c r="L351" i="1" s="1"/>
  <c r="G192" i="1"/>
  <c r="C103" i="2"/>
  <c r="J653" i="1"/>
  <c r="J643" i="1"/>
  <c r="J650" i="1"/>
  <c r="K570" i="1"/>
  <c r="H460" i="1"/>
  <c r="H640" i="1" s="1"/>
  <c r="J644" i="1"/>
  <c r="I407" i="1"/>
  <c r="L255" i="1"/>
  <c r="L256" i="1" s="1"/>
  <c r="L270" i="1" s="1"/>
  <c r="K433" i="1"/>
  <c r="G133" i="2" s="1"/>
  <c r="G143" i="2" s="1"/>
  <c r="D102" i="2"/>
  <c r="D103" i="2" s="1"/>
  <c r="C29" i="10"/>
  <c r="I139" i="1"/>
  <c r="F139" i="1"/>
  <c r="C38" i="10" s="1"/>
  <c r="I111" i="1"/>
  <c r="I192" i="1" s="1"/>
  <c r="I467" i="1" s="1"/>
  <c r="I469" i="1" s="1"/>
  <c r="A22" i="12"/>
  <c r="C20" i="10"/>
  <c r="G31" i="13"/>
  <c r="C16" i="10"/>
  <c r="C28" i="10" s="1"/>
  <c r="H32" i="1"/>
  <c r="H51" i="1" s="1"/>
  <c r="H618" i="1" s="1"/>
  <c r="G663" i="1"/>
  <c r="I659" i="1"/>
  <c r="J641" i="1"/>
  <c r="J467" i="1"/>
  <c r="G630" i="1"/>
  <c r="G645" i="1"/>
  <c r="G160" i="2"/>
  <c r="J618" i="1"/>
  <c r="H471" i="1"/>
  <c r="G632" i="1"/>
  <c r="G467" i="1"/>
  <c r="G627" i="1"/>
  <c r="H671" i="1"/>
  <c r="C6" i="10" s="1"/>
  <c r="H666" i="1"/>
  <c r="J640" i="1"/>
  <c r="I471" i="1"/>
  <c r="G635" i="1"/>
  <c r="H647" i="1"/>
  <c r="J647" i="1" s="1"/>
  <c r="J351" i="1"/>
  <c r="F471" i="1"/>
  <c r="G631" i="1"/>
  <c r="G163" i="2"/>
  <c r="G144" i="2"/>
  <c r="G628" i="1"/>
  <c r="J628" i="1" s="1"/>
  <c r="J464" i="1"/>
  <c r="G629" i="1"/>
  <c r="J629" i="1" s="1"/>
  <c r="H629" i="1"/>
  <c r="H469" i="1"/>
  <c r="I662" i="1"/>
  <c r="I464" i="1"/>
  <c r="H464" i="1"/>
  <c r="G31" i="2"/>
  <c r="G50" i="2" s="1"/>
  <c r="F192" i="1"/>
  <c r="G464" i="1"/>
  <c r="G158" i="2"/>
  <c r="D27" i="10" l="1"/>
  <c r="D19" i="10"/>
  <c r="D25" i="10"/>
  <c r="D11" i="10"/>
  <c r="D20" i="10"/>
  <c r="D17" i="10"/>
  <c r="D15" i="10"/>
  <c r="D23" i="10"/>
  <c r="D13" i="10"/>
  <c r="C30" i="10"/>
  <c r="D21" i="10"/>
  <c r="D16" i="10"/>
  <c r="D22" i="10"/>
  <c r="D18" i="10"/>
  <c r="D10" i="10"/>
  <c r="D12" i="10"/>
  <c r="D24" i="10"/>
  <c r="D26" i="10"/>
  <c r="C36" i="10"/>
  <c r="C41" i="10" s="1"/>
  <c r="D38" i="10" s="1"/>
  <c r="C139" i="2"/>
  <c r="L407" i="1"/>
  <c r="G33" i="13"/>
  <c r="D31" i="13"/>
  <c r="G625" i="1"/>
  <c r="J51" i="1"/>
  <c r="H620" i="1" s="1"/>
  <c r="J620" i="1" s="1"/>
  <c r="F467" i="1"/>
  <c r="G626" i="1"/>
  <c r="F473" i="1"/>
  <c r="H631" i="1"/>
  <c r="H635" i="1"/>
  <c r="I473" i="1"/>
  <c r="D28" i="10"/>
  <c r="G671" i="1"/>
  <c r="C5" i="10" s="1"/>
  <c r="G666" i="1"/>
  <c r="I475" i="1"/>
  <c r="H624" i="1" s="1"/>
  <c r="J624" i="1" s="1"/>
  <c r="J631" i="1"/>
  <c r="J635" i="1"/>
  <c r="D39" i="10"/>
  <c r="G469" i="1"/>
  <c r="G475" i="1" s="1"/>
  <c r="H622" i="1" s="1"/>
  <c r="J622" i="1" s="1"/>
  <c r="H627" i="1"/>
  <c r="J627" i="1" s="1"/>
  <c r="H473" i="1"/>
  <c r="H475" i="1" s="1"/>
  <c r="H623" i="1" s="1"/>
  <c r="J623" i="1" s="1"/>
  <c r="H632" i="1"/>
  <c r="J632" i="1" s="1"/>
  <c r="H630" i="1"/>
  <c r="J630" i="1" s="1"/>
  <c r="J469" i="1"/>
  <c r="J475" i="1" s="1"/>
  <c r="H625" i="1" s="1"/>
  <c r="J625" i="1" s="1"/>
  <c r="H636" i="1"/>
  <c r="I663" i="1"/>
  <c r="D37" i="10" l="1"/>
  <c r="D36" i="10"/>
  <c r="D40" i="10"/>
  <c r="D35" i="10"/>
  <c r="C31" i="13"/>
  <c r="D33" i="13"/>
  <c r="D36" i="13" s="1"/>
  <c r="C140" i="2"/>
  <c r="C143" i="2" s="1"/>
  <c r="C144" i="2" s="1"/>
  <c r="H645" i="1"/>
  <c r="J645" i="1" s="1"/>
  <c r="G636" i="1"/>
  <c r="J636" i="1" s="1"/>
  <c r="F469" i="1"/>
  <c r="H626" i="1"/>
  <c r="F464" i="1"/>
  <c r="F475" i="1" s="1"/>
  <c r="H621" i="1" s="1"/>
  <c r="J621" i="1" s="1"/>
  <c r="I671" i="1"/>
  <c r="C7" i="10" s="1"/>
  <c r="I666" i="1"/>
  <c r="D41" i="10"/>
  <c r="J626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<sst xmlns="http://schemas.openxmlformats.org/spreadsheetml/2006/main" count="3957" uniqueCount="924">
  <si>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</si>
  <si>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</si>
  <si>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</si>
  <si>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</si>
  <si>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</si>
  <si>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</si>
  <si>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</si>
  <si>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</si>
  <si>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</si>
  <si>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</si>
  <si>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</si>
  <si>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</si>
  <si>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</si>
  <si>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</si>
  <si>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</si>
  <si>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</si>
  <si>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</si>
  <si>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</si>
  <si>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</si>
  <si>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</si>
  <si>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</si>
  <si>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</si>
  <si>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</si>
  <si>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</si>
  <si>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</si>
  <si>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</si>
  <si>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</si>
  <si>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</si>
  <si>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</si>
  <si>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</si>
  <si>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</si>
  <si>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</si>
  <si>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</si>
  <si>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</si>
  <si>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</si>
  <si>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</si>
  <si>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</si>
  <si>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</si>
  <si>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</si>
  <si>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</si>
  <si>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</si>
  <si>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</si>
  <si>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</si>
  <si>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</si>
  <si>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</si>
  <si>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</si>
  <si>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</si>
  <si>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</si>
  <si>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</si>
  <si>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</si>
  <si>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</si>
  <si>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</si>
  <si>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</si>
  <si>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</si>
  <si>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</si>
  <si>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</si>
  <si>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</si>
  <si>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</si>
  <si>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</si>
  <si>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</si>
  <si>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</si>
  <si>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</si>
  <si>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</si>
  <si>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</si>
  <si>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</si>
  <si>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</si>
  <si>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</si>
  <si>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</si>
  <si>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</si>
  <si>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</si>
  <si>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</si>
  <si>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</si>
  <si>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</si>
  <si>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</si>
  <si>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</si>
  <si>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</si>
  <si>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</si>
  <si>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</si>
  <si>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</si>
  <si>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</si>
  <si>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</si>
  <si>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</si>
  <si>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</si>
  <si>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</si>
  <si>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</si>
  <si>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</si>
  <si>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</si>
  <si>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</si>
  <si>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</si>
  <si>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</si>
  <si>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</si>
  <si>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</si>
  <si>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</si>
  <si>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</si>
  <si>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</si>
  <si>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</si>
  <si>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</si>
  <si>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</si>
  <si>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</si>
  <si>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</si>
  <si>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</si>
  <si>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</si>
  <si>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</si>
  <si>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</si>
  <si>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</si>
  <si>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</si>
  <si>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</si>
  <si>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</si>
  <si>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</si>
  <si>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</si>
  <si>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</si>
  <si>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</si>
  <si>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</si>
  <si>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</si>
  <si>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</si>
  <si>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</si>
  <si>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</si>
  <si>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</si>
  <si>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</si>
  <si>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</si>
  <si>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</si>
  <si>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</si>
  <si>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</si>
  <si>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</si>
  <si>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</si>
  <si>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</si>
  <si>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</si>
  <si>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</si>
  <si>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</si>
  <si>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</si>
  <si>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</si>
  <si>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</si>
  <si>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</si>
  <si>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</si>
  <si>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</si>
  <si>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</si>
  <si>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</si>
  <si>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</si>
  <si>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</si>
  <si>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</si>
  <si>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</si>
  <si>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</si>
  <si>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</si>
  <si>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</si>
  <si>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</si>
  <si>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</si>
  <si>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</si>
  <si>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</si>
  <si>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</si>
  <si>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</si>
  <si>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</si>
  <si>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</si>
  <si>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</si>
  <si>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</si>
  <si>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</si>
  <si>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</si>
  <si>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</si>
  <si>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</si>
  <si>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</si>
  <si>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</si>
  <si>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</si>
  <si>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</si>
  <si>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</si>
  <si>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</si>
  <si>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</si>
  <si>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</si>
  <si>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</si>
  <si>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</si>
  <si>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</si>
  <si>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</si>
  <si>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</si>
  <si>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</si>
  <si>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</si>
  <si>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</si>
  <si>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</si>
  <si>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</si>
  <si>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</si>
  <si>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</si>
  <si>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</si>
  <si>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</si>
  <si>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</si>
  <si>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</si>
  <si>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</si>
  <si>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</si>
  <si>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</si>
  <si>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</si>
  <si>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</si>
  <si>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</si>
  <si>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</si>
  <si>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</si>
  <si>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</si>
  <si>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</si>
  <si>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</si>
  <si>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</si>
  <si>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</si>
  <si>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</si>
  <si>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</si>
  <si>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</si>
  <si>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</si>
  <si>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</si>
  <si>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</si>
  <si>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</si>
  <si>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</si>
  <si>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</si>
  <si>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</si>
  <si>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</si>
  <si>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</si>
  <si>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</si>
  <si>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</si>
  <si>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</si>
  <si>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</si>
  <si>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</si>
  <si>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</si>
  <si>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</si>
  <si>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</si>
  <si>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</si>
  <si>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</si>
  <si>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</si>
  <si>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</si>
  <si>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</si>
  <si>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</si>
  <si>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</si>
  <si>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</si>
  <si>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</si>
  <si>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</si>
  <si>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</si>
  <si>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</si>
  <si>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</si>
  <si>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</si>
  <si>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</si>
  <si>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</si>
  <si>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</si>
  <si>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</si>
  <si>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</si>
  <si>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</si>
  <si>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</si>
  <si>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</si>
  <si>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</si>
  <si>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</si>
  <si>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</si>
  <si>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</si>
  <si>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</si>
  <si>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</si>
  <si>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</si>
  <si>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</si>
  <si>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</si>
  <si>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</si>
  <si>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</si>
  <si>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</si>
  <si>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</si>
  <si>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</si>
  <si>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</si>
  <si>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</si>
  <si>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</si>
  <si>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</si>
  <si>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</si>
  <si>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</si>
  <si>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</si>
  <si>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</si>
  <si>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</si>
  <si>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</si>
  <si>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</si>
  <si>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</si>
  <si>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</si>
  <si>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</si>
  <si>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</si>
  <si>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</si>
  <si>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</si>
  <si>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</si>
  <si>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</si>
  <si>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</si>
  <si>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</si>
  <si>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</si>
  <si>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</si>
  <si>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</si>
  <si>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</si>
  <si>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</si>
  <si>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</si>
  <si>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</si>
  <si>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</si>
  <si>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</si>
  <si>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</si>
  <si>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</si>
  <si>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</si>
  <si>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</si>
  <si>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</si>
  <si>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</si>
  <si>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</si>
  <si>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</si>
  <si>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</si>
  <si>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</si>
  <si>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</si>
  <si>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</si>
  <si>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</si>
  <si>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</si>
  <si>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</si>
  <si>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</si>
  <si>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</si>
  <si>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</si>
  <si>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</si>
  <si>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</si>
  <si>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</si>
  <si>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</si>
  <si>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</si>
  <si>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</si>
  <si>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</si>
  <si>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</si>
  <si>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</si>
  <si>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</si>
  <si>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</si>
  <si>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</si>
  <si>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</si>
  <si>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</si>
  <si>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</si>
  <si>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</si>
  <si>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</si>
  <si>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</si>
  <si>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</si>
  <si>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</si>
  <si>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</si>
  <si>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</si>
  <si>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</si>
  <si>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</si>
  <si>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</si>
  <si>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</si>
  <si>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</si>
  <si>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</si>
  <si>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</si>
  <si>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</si>
  <si>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</si>
  <si>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</si>
  <si>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</si>
  <si>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</si>
  <si>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</si>
  <si>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</si>
  <si>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</si>
  <si>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</si>
  <si>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</si>
  <si>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</si>
  <si>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</si>
  <si>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</si>
  <si>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</si>
  <si>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</si>
  <si>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</si>
  <si>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</si>
  <si>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</si>
  <si>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</si>
  <si>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</si>
  <si>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</si>
  <si>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</si>
  <si>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</si>
  <si>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</si>
  <si>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</si>
  <si>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</si>
  <si>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</si>
  <si>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</si>
  <si>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</si>
  <si>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</si>
  <si>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</si>
  <si>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</si>
  <si>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</si>
  <si>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</si>
  <si>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</si>
  <si>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</si>
  <si>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</si>
  <si>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</si>
  <si>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</si>
  <si>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</si>
  <si>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</si>
  <si>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</si>
  <si>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</si>
  <si>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</si>
  <si>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</si>
  <si>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</si>
  <si>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</si>
  <si>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</si>
  <si>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</si>
  <si>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</si>
  <si>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</si>
  <si>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</si>
  <si>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</si>
  <si>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</si>
  <si>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</si>
  <si>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</si>
  <si>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</si>
  <si>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</si>
  <si>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</si>
  <si>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</si>
  <si>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</si>
  <si>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</si>
  <si>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</si>
  <si>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</si>
  <si>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</si>
  <si>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</si>
  <si>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</si>
  <si>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</si>
  <si>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</si>
  <si>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</si>
  <si>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</si>
  <si>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</si>
  <si>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</si>
  <si>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</si>
  <si>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</si>
  <si>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</si>
  <si>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</si>
  <si>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</si>
  <si>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</si>
  <si>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</si>
  <si>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</si>
  <si>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</si>
  <si>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</si>
  <si>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</si>
  <si>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</si>
  <si>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</si>
  <si>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</si>
  <si>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</si>
  <si>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</si>
  <si>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</si>
  <si>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</si>
  <si>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</si>
  <si>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</si>
  <si>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</si>
  <si>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</si>
  <si>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</si>
  <si>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</si>
  <si>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</si>
  <si>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</si>
  <si>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</si>
  <si>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</si>
  <si>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</si>
  <si>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</si>
  <si>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</si>
  <si>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</si>
  <si>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</si>
  <si>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</si>
  <si>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</si>
  <si>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</si>
  <si>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</si>
  <si>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</si>
  <si>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</si>
  <si>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</si>
  <si>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</si>
  <si>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</si>
  <si>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</si>
  <si>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</si>
  <si>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</si>
  <si>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</si>
  <si>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</si>
  <si>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</si>
  <si>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</si>
  <si>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</si>
  <si>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</si>
  <si>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</si>
  <si>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</si>
  <si>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</si>
  <si>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</si>
  <si>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</si>
  <si>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</si>
  <si>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</si>
  <si>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</si>
  <si>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</si>
  <si>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</si>
  <si>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</si>
  <si>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</si>
  <si>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</si>
  <si>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</si>
  <si>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</si>
  <si>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</si>
  <si>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</si>
  <si>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</si>
  <si>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</si>
  <si>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</si>
  <si>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</si>
  <si>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</si>
  <si>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</si>
  <si>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</si>
  <si>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</si>
  <si>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</si>
  <si>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</si>
  <si>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</si>
  <si>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</si>
  <si>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</si>
  <si>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</si>
  <si>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</si>
  <si>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</si>
  <si>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</si>
  <si>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</si>
  <si>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</si>
  <si>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</si>
  <si>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</si>
  <si>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</si>
  <si>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</si>
  <si>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</si>
  <si>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</si>
  <si>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</si>
  <si>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</si>
  <si>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</si>
  <si>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</si>
  <si>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</si>
  <si>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</si>
  <si>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</si>
  <si>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</si>
  <si>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</si>
  <si>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</si>
  <si>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</si>
  <si>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</si>
  <si>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</si>
  <si>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</si>
  <si>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</si>
  <si>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</si>
  <si>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</si>
  <si>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</si>
  <si>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</si>
  <si>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</si>
  <si>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</si>
  <si>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</si>
  <si>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</si>
  <si>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</si>
  <si>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</si>
  <si>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</si>
  <si>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</si>
  <si>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</si>
  <si>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</si>
  <si>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</si>
  <si>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</si>
  <si>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</si>
  <si>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</si>
  <si>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</si>
  <si>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</si>
  <si>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</si>
  <si>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</si>
  <si>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</si>
  <si>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</si>
  <si>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</si>
  <si>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</si>
  <si>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</si>
  <si>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</si>
  <si>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</si>
  <si>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</si>
  <si>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</si>
  <si>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</si>
  <si>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</si>
  <si>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</si>
  <si>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</si>
  <si>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</si>
  <si>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</si>
  <si>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</si>
  <si>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</si>
  <si>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</si>
  <si>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</si>
  <si>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</si>
  <si>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</si>
  <si>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</si>
  <si>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</si>
  <si>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</si>
  <si>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</si>
  <si>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</si>
  <si>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</si>
  <si>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</si>
  <si>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</si>
  <si>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</si>
  <si>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</si>
  <si>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</si>
  <si>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</si>
  <si>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</si>
  <si>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</si>
  <si>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</si>
  <si>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</si>
  <si>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</si>
  <si>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</si>
  <si>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</si>
  <si>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</si>
  <si>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</si>
  <si>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</si>
  <si>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</si>
  <si>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</si>
  <si>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</si>
  <si>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</si>
  <si>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</si>
  <si>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</si>
  <si>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</si>
  <si>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</si>
  <si>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</si>
  <si>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</si>
  <si>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</si>
  <si>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</si>
  <si>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</si>
  <si>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</si>
  <si>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</si>
  <si>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</si>
  <si>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</si>
  <si>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</si>
  <si>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</si>
  <si>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</si>
  <si>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</si>
  <si>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</si>
  <si>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</si>
  <si>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</si>
  <si>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</si>
  <si>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</si>
  <si>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</si>
  <si>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</si>
  <si>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</si>
  <si>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</si>
  <si>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</si>
  <si>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</si>
  <si>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</si>
  <si>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</si>
  <si>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</si>
  <si>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</si>
  <si>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</si>
  <si>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</si>
  <si>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</si>
  <si>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</si>
  <si>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</si>
  <si>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</si>
  <si>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</si>
  <si>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</si>
  <si>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</si>
  <si>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</si>
  <si>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</si>
  <si>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</si>
  <si>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</si>
  <si>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</si>
  <si>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</si>
  <si>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</si>
  <si>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</si>
  <si>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</si>
  <si>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</si>
  <si>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</si>
  <si>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</si>
  <si>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</si>
  <si>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</si>
  <si>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</si>
  <si>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</si>
  <si>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</si>
  <si>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</si>
  <si>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</si>
  <si>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</si>
  <si>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</si>
  <si>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</si>
  <si>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</si>
  <si>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</si>
  <si>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</si>
  <si>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</si>
  <si>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</si>
  <si>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</si>
  <si>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</si>
  <si>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</si>
  <si>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</si>
  <si>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</si>
  <si>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</si>
  <si>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</si>
  <si>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</si>
  <si>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</si>
  <si>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</si>
  <si>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</si>
  <si>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</si>
  <si>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</si>
  <si>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</si>
  <si>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</si>
  <si>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</si>
  <si>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</si>
  <si>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</si>
  <si>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</si>
  <si>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</si>
  <si>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</si>
  <si>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</si>
  <si>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</si>
  <si>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</si>
  <si>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</si>
  <si>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</si>
  <si>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</si>
  <si>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</si>
  <si>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</si>
  <si>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</si>
  <si>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</si>
  <si>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</si>
  <si>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</si>
  <si>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</si>
  <si>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</si>
  <si>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</si>
  <si>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</si>
  <si>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</si>
  <si>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</si>
  <si>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</si>
  <si>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</si>
  <si>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</si>
  <si>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</si>
  <si>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</si>
  <si>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</si>
  <si>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</si>
  <si>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</si>
  <si>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</si>
  <si>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</si>
  <si>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</si>
  <si>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</si>
  <si>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</si>
  <si>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</si>
  <si>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</si>
  <si>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</si>
  <si>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</si>
  <si>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</si>
  <si>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</si>
  <si>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</si>
  <si>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</si>
  <si>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</si>
  <si>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</si>
  <si>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</si>
  <si>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</si>
  <si>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</si>
  <si>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</si>
  <si>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</si>
  <si>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</si>
  <si>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</si>
  <si>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</si>
  <si>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</si>
  <si>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</si>
  <si>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</si>
  <si>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</si>
  <si>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</si>
  <si>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</si>
  <si>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</si>
  <si>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</si>
  <si>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</si>
  <si>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</si>
  <si>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</si>
  <si>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</si>
  <si>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</si>
  <si>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</si>
  <si>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</si>
  <si>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</si>
  <si>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</si>
  <si>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</si>
  <si>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</si>
  <si>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</si>
  <si>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</si>
  <si>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</si>
  <si>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</si>
  <si>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</si>
  <si>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</si>
  <si>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</si>
  <si>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</si>
  <si>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</si>
  <si>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</si>
  <si>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</si>
  <si>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</si>
  <si>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</si>
  <si>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</si>
  <si>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</si>
  <si>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</si>
  <si>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</si>
  <si>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</si>
  <si>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</si>
  <si>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</si>
  <si>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</si>
  <si>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</si>
  <si>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</si>
  <si>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</si>
  <si>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</si>
  <si>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</si>
  <si>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</si>
  <si>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</si>
  <si>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</si>
  <si>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</si>
  <si>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</si>
  <si>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</si>
  <si>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</si>
  <si>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</si>
  <si>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</si>
  <si>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</si>
  <si>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</si>
  <si>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</si>
  <si>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</si>
  <si>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</si>
  <si>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</si>
  <si>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</si>
  <si>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</si>
  <si>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</si>
  <si>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</si>
  <si>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</si>
  <si>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</si>
  <si>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</si>
  <si>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</si>
  <si>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</si>
  <si>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</si>
  <si>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</si>
  <si>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</si>
  <si>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</si>
  <si>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</si>
  <si>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</si>
  <si>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</si>
  <si>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</si>
  <si>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</si>
  <si>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</si>
  <si>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</si>
  <si>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</si>
  <si>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</si>
  <si>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</si>
  <si>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</si>
  <si>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</si>
  <si>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</si>
  <si>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</si>
  <si>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</si>
  <si>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</si>
  <si>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</si>
  <si>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</si>
  <si>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</si>
  <si>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</si>
  <si>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</si>
  <si>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</si>
  <si>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</si>
  <si>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</si>
  <si>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</si>
  <si>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</si>
  <si>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</si>
  <si>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</si>
  <si>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</si>
  <si>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</si>
  <si>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</si>
  <si>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</si>
  <si>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</si>
  <si>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</si>
  <si>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</si>
  <si>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</si>
  <si>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</si>
  <si>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</si>
  <si>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</si>
  <si>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</si>
  <si>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</si>
  <si>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</si>
  <si>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</si>
  <si>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</si>
  <si>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</si>
  <si>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</si>
  <si>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</si>
  <si>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</si>
  <si>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</si>
  <si>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</si>
  <si>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</si>
  <si>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</si>
  <si>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</si>
  <si>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</si>
  <si>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</si>
  <si>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</si>
  <si>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</si>
  <si>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</si>
  <si>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</si>
  <si>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</si>
  <si>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</si>
  <si>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</si>
  <si>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</si>
  <si>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</si>
  <si>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</si>
  <si>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</si>
  <si>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</si>
  <si>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</si>
  <si>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</si>
  <si>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</si>
  <si>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</si>
  <si>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</si>
  <si>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</si>
  <si>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</si>
  <si>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</si>
  <si>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</si>
  <si>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</si>
  <si>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</si>
  <si>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</si>
  <si>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</si>
  <si>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</si>
  <si>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</si>
  <si>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</si>
  <si>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</si>
  <si>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</si>
  <si>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</si>
  <si>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</si>
  <si>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</si>
  <si>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</si>
  <si>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</si>
  <si>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</si>
  <si>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</si>
  <si>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</si>
  <si>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</si>
  <si>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</si>
  <si>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</si>
  <si>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</si>
  <si>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</si>
  <si>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</si>
  <si>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</si>
  <si>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</si>
  <si>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</si>
  <si>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</si>
  <si>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</si>
  <si>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</si>
  <si>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</si>
  <si>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</si>
  <si>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</si>
  <si>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</si>
  <si>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</si>
  <si>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</si>
  <si>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</si>
  <si>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</si>
  <si>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</si>
  <si>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</si>
  <si>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</si>
  <si>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</si>
  <si>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</si>
  <si>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</si>
  <si>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</si>
  <si>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7/96</t>
  </si>
  <si>
    <t>8/02</t>
  </si>
  <si>
    <t>8/04</t>
  </si>
  <si>
    <t>08/06</t>
  </si>
  <si>
    <t>11/10</t>
  </si>
  <si>
    <t>8/11</t>
  </si>
  <si>
    <t>8/12</t>
  </si>
  <si>
    <t>8/14</t>
  </si>
  <si>
    <t>08/26</t>
  </si>
  <si>
    <t>7/25</t>
  </si>
  <si>
    <t>Kearsarge Regional School District</t>
  </si>
  <si>
    <t>improvement increase from prior year of $140,204.  Debt service increased with a new QSCB bond total increase in debt</t>
  </si>
  <si>
    <t>service from prior year was $246,484.</t>
  </si>
  <si>
    <t xml:space="preserve">Cost per pupil rose from the prior year by 5.2%.  Operating cost rose 18 % or $542,897 which included </t>
  </si>
  <si>
    <t>Special Education contracted services increase of $81,378 from prior year, Technology services $103,633,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</si>
</sst>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4" fontId="37" fillId="0" borderId="0" applyFont="0" applyFill="0" applyBorder="0" applyAlignment="0" applyProtection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40" fontId="1" fillId="0" borderId="0" xfId="0" applyNumberFormat="1" applyFont="1" applyBorder="1" applyProtection="1">
      <protection locked="0"/>
    </xf>
    <xf numFmtId="44" fontId="0" fillId="0" borderId="0" xfId="1" applyFont="1" applyFill="1" applyBorder="1" applyAlignment="1" applyProtection="1"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2">
    <cellStyle name="Currency" xfId="1" builtinId="4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5" t="s">
        <v>919</v>
      </c>
      <c r="B2" s="21">
        <v>276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774444.41+8346.63</f>
        <v>782791.04</v>
      </c>
      <c r="G9" s="18"/>
      <c r="H9" s="18"/>
      <c r="I9" s="18">
        <v>172322.24</v>
      </c>
      <c r="J9" s="66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1371463.48</f>
        <v>1371463.48</v>
      </c>
      <c r="G10" s="18">
        <v>793750.31</v>
      </c>
      <c r="H10" s="18"/>
      <c r="I10" s="18"/>
      <c r="J10" s="66">
        <f>SUM(I439)</f>
        <v>1669246.82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180917.22+852396.36+67544.84</f>
        <v>1100858.42</v>
      </c>
      <c r="G12" s="18">
        <f>8887.78+26285.64</f>
        <v>35173.42</v>
      </c>
      <c r="H12" s="18">
        <f>97827.8+2737.44+6.83</f>
        <v>100572.07</v>
      </c>
      <c r="I12" s="18"/>
      <c r="J12" s="66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487865.16-800</f>
        <v>487065.16</v>
      </c>
      <c r="G13" s="18">
        <f>39650.69</f>
        <v>39650.69</v>
      </c>
      <c r="H13" s="18">
        <f>98940.95+230676.93</f>
        <v>329617.88</v>
      </c>
      <c r="I13" s="18"/>
      <c r="J13" s="66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6000</v>
      </c>
      <c r="G14" s="18"/>
      <c r="H14" s="18"/>
      <c r="I14" s="18"/>
      <c r="J14" s="66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111175.01</v>
      </c>
      <c r="G16" s="18">
        <v>14310.35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17376</v>
      </c>
      <c r="G17" s="18"/>
      <c r="H17" s="18"/>
      <c r="I17" s="18"/>
      <c r="J17" s="66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3876729.11</v>
      </c>
      <c r="G19" s="41">
        <f>SUM(G9:G18)</f>
        <v>882884.77000000014</v>
      </c>
      <c r="H19" s="41">
        <f>SUM(H9:H18)</f>
        <v>430189.95</v>
      </c>
      <c r="I19" s="41">
        <f>SUM(I9:I18)</f>
        <v>172322.24</v>
      </c>
      <c r="J19" s="41">
        <f>SUM(J9:J18)</f>
        <v>1669246.82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97827.8</v>
      </c>
      <c r="G22" s="18">
        <v>852396.36</v>
      </c>
      <c r="H22" s="18">
        <f>6.83+26285.64+11625.22+180917.22</f>
        <v>218834.91</v>
      </c>
      <c r="I22" s="18">
        <v>67544.84</v>
      </c>
      <c r="J22" s="66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188868.98</v>
      </c>
      <c r="G24" s="18">
        <v>328.28</v>
      </c>
      <c r="H24" s="18">
        <f>288.92+7730</f>
        <v>8018.92</v>
      </c>
      <c r="I24" s="18"/>
      <c r="J24" s="66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940770.25+34173.61</f>
        <v>974943.86</v>
      </c>
      <c r="G28" s="18"/>
      <c r="H28" s="18">
        <v>26931.200000000001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22410.47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37084.449999999997</v>
      </c>
      <c r="G30" s="18">
        <v>15849.78</v>
      </c>
      <c r="H30" s="18">
        <f>13658.64+162746.28</f>
        <v>176404.91999999998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1321135.56</v>
      </c>
      <c r="G32" s="41">
        <f>SUM(G22:G31)</f>
        <v>868574.42</v>
      </c>
      <c r="H32" s="41">
        <f>SUM(H22:H31)</f>
        <v>430189.95</v>
      </c>
      <c r="I32" s="41">
        <f>SUM(I22:I31)</f>
        <v>67544.84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111175.01</v>
      </c>
      <c r="G35" s="18">
        <v>14310.35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17376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f>104648.3+129.1</f>
        <v>104777.40000000001</v>
      </c>
      <c r="J47" s="13">
        <f>SUM(I458)</f>
        <v>1669246.82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709721.44+1782.74</f>
        <v>711504.17999999993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0">
        <v>34</v>
      </c>
      <c r="D49" s="2" t="s">
        <v>657</v>
      </c>
      <c r="E49" s="6">
        <v>770</v>
      </c>
      <c r="F49" s="18">
        <f>685993.24+979545.12</f>
        <v>1665538.3599999999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2555593.5499999998</v>
      </c>
      <c r="G50" s="41">
        <f>SUM(G35:G49)</f>
        <v>14310.35</v>
      </c>
      <c r="H50" s="41">
        <f>SUM(H35:H49)</f>
        <v>0</v>
      </c>
      <c r="I50" s="41">
        <f>SUM(I35:I49)</f>
        <v>104777.40000000001</v>
      </c>
      <c r="J50" s="41">
        <f>SUM(J35:J49)</f>
        <v>1669246.82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3876729.11</v>
      </c>
      <c r="G51" s="41">
        <f>G50+G32</f>
        <v>882884.77</v>
      </c>
      <c r="H51" s="41">
        <f>H50+H32</f>
        <v>430189.95</v>
      </c>
      <c r="I51" s="41">
        <f>I50+I32</f>
        <v>172322.24</v>
      </c>
      <c r="J51" s="41">
        <f>J50+J32</f>
        <v>1669246.82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22349217.97-800</f>
        <v>22348417.969999999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22348417.969999999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11614.45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13140.42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55514.42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2541.48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113.62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82924.39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3315.94+0.53</f>
        <v>3316.4700000000003</v>
      </c>
      <c r="G95" s="18">
        <v>439.55</v>
      </c>
      <c r="H95" s="18"/>
      <c r="I95" s="18">
        <f>129.1+174.91</f>
        <v>304.01</v>
      </c>
      <c r="J95" s="18">
        <v>7063.3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442589.45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8499.14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10386.73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11000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73023.740000000005</v>
      </c>
      <c r="G109" s="18">
        <v>39436.83</v>
      </c>
      <c r="H109" s="18">
        <v>95674.27</v>
      </c>
      <c r="I109" s="18"/>
      <c r="J109" s="18">
        <v>14977.8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95226.08</v>
      </c>
      <c r="G110" s="41">
        <f>SUM(G95:G109)</f>
        <v>482465.83</v>
      </c>
      <c r="H110" s="41">
        <f>SUM(H95:H109)</f>
        <v>106674.27</v>
      </c>
      <c r="I110" s="41">
        <f>SUM(I95:I109)</f>
        <v>304.01</v>
      </c>
      <c r="J110" s="41">
        <f>SUM(J95:J109)</f>
        <v>22041.1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22526568.439999998</v>
      </c>
      <c r="G111" s="41">
        <f>G59+G110</f>
        <v>482465.83</v>
      </c>
      <c r="H111" s="41">
        <f>H59+H78+H93+H110</f>
        <v>106674.27</v>
      </c>
      <c r="I111" s="41">
        <f>I59+I110</f>
        <v>304.01</v>
      </c>
      <c r="J111" s="41">
        <f>J59+J110</f>
        <v>22041.1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2831596-2451.27</f>
        <v>2829144.73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7110985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4">
        <v>2451.27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9942581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1591664.41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436550.5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274.02999999999997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36014.54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6276.67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26330.65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2090834.13</v>
      </c>
      <c r="G135" s="41">
        <f>SUM(G122:G134)</f>
        <v>6276.67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12033415.129999999</v>
      </c>
      <c r="G139" s="41">
        <f>G120+SUM(G135:G136)</f>
        <v>6276.67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211606.3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211606.3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178074.63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218420.43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50283.66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190583.98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460002.17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125561.94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125561.94</v>
      </c>
      <c r="G161" s="41">
        <f>SUM(G149:G160)</f>
        <v>190583.98</v>
      </c>
      <c r="H161" s="41">
        <f>SUM(H149:H160)</f>
        <v>906780.8899999999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337168.24</v>
      </c>
      <c r="G168" s="41">
        <f>G146+G161+SUM(G162:G167)</f>
        <v>190583.98</v>
      </c>
      <c r="H168" s="41">
        <f>H146+H161+SUM(H162:H167)</f>
        <v>906780.8899999999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f>140248.17-37084.45+8346.1</f>
        <v>111509.82000000002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111509.82000000002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117853.4</v>
      </c>
      <c r="H178" s="18">
        <v>34503.75</v>
      </c>
      <c r="I178" s="18"/>
      <c r="J178" s="18">
        <v>75000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117853.4</v>
      </c>
      <c r="H182" s="41">
        <f>SUM(H178:H181)</f>
        <v>34503.75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111509.82000000002</v>
      </c>
      <c r="G191" s="41">
        <f>G182+SUM(G187:G190)</f>
        <v>117853.4</v>
      </c>
      <c r="H191" s="41">
        <f>+H182+SUM(H187:H190)</f>
        <v>34503.75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35008661.629999995</v>
      </c>
      <c r="G192" s="47">
        <f>G111+G139+G168+G191</f>
        <v>797179.88</v>
      </c>
      <c r="H192" s="47">
        <f>H111+H139+H168+H191</f>
        <v>1047958.9099999999</v>
      </c>
      <c r="I192" s="47">
        <f>I111+I139+I168+I191</f>
        <v>304.01</v>
      </c>
      <c r="J192" s="47">
        <f>J111+J139+J191</f>
        <v>97041.1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2949995.75</v>
      </c>
      <c r="G196" s="18">
        <v>1583074.34</v>
      </c>
      <c r="H196" s="18">
        <v>193125.11</v>
      </c>
      <c r="I196" s="18">
        <v>152999</v>
      </c>
      <c r="J196" s="18">
        <v>64313.18</v>
      </c>
      <c r="K196" s="18"/>
      <c r="L196" s="19">
        <f>SUM(F196:K196)</f>
        <v>4943507.38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1698580.42</v>
      </c>
      <c r="G197" s="18">
        <v>577526.54</v>
      </c>
      <c r="H197" s="18">
        <f>329580.42+484</f>
        <v>330064.42</v>
      </c>
      <c r="I197" s="18">
        <v>29640.87</v>
      </c>
      <c r="J197" s="18">
        <v>449.33</v>
      </c>
      <c r="K197" s="18"/>
      <c r="L197" s="19">
        <f>SUM(F197:K197)</f>
        <v>2636261.58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>
        <v>315</v>
      </c>
      <c r="J199" s="18"/>
      <c r="K199" s="18"/>
      <c r="L199" s="19">
        <f>SUM(F199:K199)</f>
        <v>315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380128.56</v>
      </c>
      <c r="G201" s="18">
        <v>139467.76</v>
      </c>
      <c r="H201" s="18">
        <v>723.94</v>
      </c>
      <c r="I201" s="18">
        <v>2751.37</v>
      </c>
      <c r="J201" s="18"/>
      <c r="K201" s="18"/>
      <c r="L201" s="19">
        <f t="shared" ref="L201:L207" si="0">SUM(F201:K201)</f>
        <v>523071.63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136920.5</v>
      </c>
      <c r="G202" s="18">
        <v>66713.23</v>
      </c>
      <c r="H202" s="18">
        <v>20597.900000000001</v>
      </c>
      <c r="I202" s="18">
        <v>16561.849999999999</v>
      </c>
      <c r="J202" s="18">
        <v>1631.12</v>
      </c>
      <c r="K202" s="18"/>
      <c r="L202" s="19">
        <f t="shared" si="0"/>
        <v>242424.59999999998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460885.12</v>
      </c>
      <c r="G203" s="18">
        <v>140925.22</v>
      </c>
      <c r="H203" s="18">
        <v>106460.67</v>
      </c>
      <c r="I203" s="18">
        <v>6957.09</v>
      </c>
      <c r="J203" s="18">
        <v>24515.19</v>
      </c>
      <c r="K203" s="18">
        <v>9586.98</v>
      </c>
      <c r="L203" s="19">
        <f t="shared" si="0"/>
        <v>749330.2699999999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520339.86</v>
      </c>
      <c r="G204" s="18">
        <v>241641.07</v>
      </c>
      <c r="H204" s="18">
        <v>34483.360000000001</v>
      </c>
      <c r="I204" s="18">
        <v>2744.73</v>
      </c>
      <c r="J204" s="18">
        <v>1219.94</v>
      </c>
      <c r="K204" s="18">
        <v>3676.5</v>
      </c>
      <c r="L204" s="19">
        <f t="shared" si="0"/>
        <v>804105.45999999985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245120.63</v>
      </c>
      <c r="G206" s="18">
        <v>142681.79999999999</v>
      </c>
      <c r="H206" s="18">
        <v>580615.96</v>
      </c>
      <c r="I206" s="18">
        <v>240974.07</v>
      </c>
      <c r="J206" s="18">
        <v>20963.150000000001</v>
      </c>
      <c r="K206" s="18"/>
      <c r="L206" s="19">
        <f t="shared" si="0"/>
        <v>1230355.6099999999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995270.62</v>
      </c>
      <c r="I207" s="18">
        <v>121171.09</v>
      </c>
      <c r="J207" s="18"/>
      <c r="K207" s="18"/>
      <c r="L207" s="19">
        <f t="shared" si="0"/>
        <v>1116441.71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6391970.8399999999</v>
      </c>
      <c r="G210" s="41">
        <f t="shared" si="1"/>
        <v>2892029.9599999995</v>
      </c>
      <c r="H210" s="41">
        <f t="shared" si="1"/>
        <v>2261341.98</v>
      </c>
      <c r="I210" s="41">
        <f t="shared" si="1"/>
        <v>574115.06999999995</v>
      </c>
      <c r="J210" s="41">
        <f t="shared" si="1"/>
        <v>113091.91</v>
      </c>
      <c r="K210" s="41">
        <f t="shared" si="1"/>
        <v>13263.48</v>
      </c>
      <c r="L210" s="41">
        <f t="shared" si="1"/>
        <v>12245813.239999998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6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2932648.46</v>
      </c>
      <c r="G214" s="18">
        <v>1040047.13</v>
      </c>
      <c r="H214" s="18">
        <v>108011.57</v>
      </c>
      <c r="I214" s="18">
        <v>68533.039999999994</v>
      </c>
      <c r="J214" s="18">
        <v>37088.79</v>
      </c>
      <c r="K214" s="18">
        <v>385</v>
      </c>
      <c r="L214" s="19">
        <f>SUM(F214:K214)</f>
        <v>4186713.9899999998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962665.09</v>
      </c>
      <c r="G215" s="18">
        <v>273635.53000000003</v>
      </c>
      <c r="H215" s="18">
        <f>305050.06+264</f>
        <v>305314.06</v>
      </c>
      <c r="I215" s="18">
        <v>14010.89</v>
      </c>
      <c r="J215" s="18"/>
      <c r="K215" s="18">
        <v>3056.67</v>
      </c>
      <c r="L215" s="19">
        <f>SUM(F215:K215)</f>
        <v>1558682.24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88192</v>
      </c>
      <c r="G217" s="18">
        <v>12530.94</v>
      </c>
      <c r="H217" s="18">
        <v>2680</v>
      </c>
      <c r="I217" s="18">
        <v>1243.9000000000001</v>
      </c>
      <c r="J217" s="18">
        <v>5396.1</v>
      </c>
      <c r="K217" s="18">
        <v>2310.5</v>
      </c>
      <c r="L217" s="19">
        <f>SUM(F217:K217)</f>
        <v>112353.44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248395.29</v>
      </c>
      <c r="G219" s="18">
        <v>92040.44</v>
      </c>
      <c r="H219" s="18">
        <v>3164.01</v>
      </c>
      <c r="I219" s="18">
        <v>3671.8</v>
      </c>
      <c r="J219" s="18"/>
      <c r="K219" s="18"/>
      <c r="L219" s="19">
        <f t="shared" ref="L219:L225" si="2">SUM(F219:K219)</f>
        <v>347271.54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63846</v>
      </c>
      <c r="G220" s="18">
        <v>33300.800000000003</v>
      </c>
      <c r="H220" s="18">
        <v>13316.82</v>
      </c>
      <c r="I220" s="18">
        <v>8821.11</v>
      </c>
      <c r="J220" s="18"/>
      <c r="K220" s="18"/>
      <c r="L220" s="19">
        <f t="shared" si="2"/>
        <v>119284.73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251391.88</v>
      </c>
      <c r="G221" s="18">
        <v>76868.28</v>
      </c>
      <c r="H221" s="18">
        <v>58069.43</v>
      </c>
      <c r="I221" s="18">
        <v>3794.77</v>
      </c>
      <c r="J221" s="18">
        <v>13371.91</v>
      </c>
      <c r="K221" s="18">
        <v>5229.28</v>
      </c>
      <c r="L221" s="19">
        <f t="shared" si="2"/>
        <v>408725.55000000005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255403.48</v>
      </c>
      <c r="G222" s="18">
        <v>137980.9</v>
      </c>
      <c r="H222" s="18">
        <v>17667.45</v>
      </c>
      <c r="I222" s="18"/>
      <c r="J222" s="18"/>
      <c r="K222" s="18">
        <v>1914</v>
      </c>
      <c r="L222" s="19">
        <f t="shared" si="2"/>
        <v>412965.83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165337.12</v>
      </c>
      <c r="G224" s="18">
        <v>65722.77</v>
      </c>
      <c r="H224" s="18">
        <v>220296.63</v>
      </c>
      <c r="I224" s="18">
        <v>238325.04</v>
      </c>
      <c r="J224" s="18">
        <v>8091.27</v>
      </c>
      <c r="K224" s="18"/>
      <c r="L224" s="19">
        <f t="shared" si="2"/>
        <v>697772.83000000007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500671.31</v>
      </c>
      <c r="I225" s="18">
        <v>66093.320000000007</v>
      </c>
      <c r="J225" s="18"/>
      <c r="K225" s="18"/>
      <c r="L225" s="19">
        <f t="shared" si="2"/>
        <v>566764.63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4967879.32</v>
      </c>
      <c r="G228" s="41">
        <f>SUM(G214:G227)</f>
        <v>1732126.79</v>
      </c>
      <c r="H228" s="41">
        <f>SUM(H214:H227)</f>
        <v>1229191.28</v>
      </c>
      <c r="I228" s="41">
        <f>SUM(I214:I227)</f>
        <v>404493.87</v>
      </c>
      <c r="J228" s="41">
        <f>SUM(J214:J227)</f>
        <v>63948.070000000007</v>
      </c>
      <c r="K228" s="41">
        <f t="shared" si="3"/>
        <v>12895.45</v>
      </c>
      <c r="L228" s="41">
        <f t="shared" si="3"/>
        <v>8410534.7800000012</v>
      </c>
      <c r="M228" s="8"/>
    </row>
    <row r="229" spans="1:13" s="3" customFormat="1" ht="12" customHeight="1" x14ac:dyDescent="0.15">
      <c r="A229" s="55" t="s">
        <v>466</v>
      </c>
      <c r="B229" s="36"/>
      <c r="C229" s="74"/>
      <c r="D229" s="74"/>
      <c r="E229" s="74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6"/>
      <c r="M229" s="8"/>
    </row>
    <row r="230" spans="1:13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2763709.84</v>
      </c>
      <c r="G232" s="18">
        <v>1329413.01</v>
      </c>
      <c r="H232" s="18">
        <v>149128.5</v>
      </c>
      <c r="I232" s="18">
        <v>132333.81</v>
      </c>
      <c r="J232" s="18">
        <v>121906.87</v>
      </c>
      <c r="K232" s="18">
        <v>12934.94</v>
      </c>
      <c r="L232" s="19">
        <f>SUM(F232:K232)</f>
        <v>4509426.97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671408.14</v>
      </c>
      <c r="G233" s="18">
        <v>189248.96</v>
      </c>
      <c r="H233" s="18">
        <f>399167.7+352.01</f>
        <v>399519.71</v>
      </c>
      <c r="I233" s="18">
        <v>15667.99</v>
      </c>
      <c r="J233" s="18">
        <v>1464.5</v>
      </c>
      <c r="K233" s="18"/>
      <c r="L233" s="19">
        <f>SUM(F233:K233)</f>
        <v>1277309.3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18722.46</v>
      </c>
      <c r="I234" s="18"/>
      <c r="J234" s="18"/>
      <c r="K234" s="18"/>
      <c r="L234" s="19">
        <f>SUM(F234:K234)</f>
        <v>18722.46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164881</v>
      </c>
      <c r="G235" s="18">
        <v>25526.98</v>
      </c>
      <c r="H235" s="18">
        <v>69706.22</v>
      </c>
      <c r="I235" s="18">
        <v>28324.97</v>
      </c>
      <c r="J235" s="18">
        <v>16197.98</v>
      </c>
      <c r="K235" s="18">
        <v>13549.66</v>
      </c>
      <c r="L235" s="19">
        <f>SUM(F235:K235)</f>
        <v>318186.81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333537</v>
      </c>
      <c r="G237" s="18">
        <v>114407.92</v>
      </c>
      <c r="H237" s="18">
        <v>5813.49</v>
      </c>
      <c r="I237" s="18">
        <v>9390.7000000000007</v>
      </c>
      <c r="J237" s="18">
        <v>77.5</v>
      </c>
      <c r="K237" s="18"/>
      <c r="L237" s="19">
        <f t="shared" ref="L237:L243" si="4">SUM(F237:K237)</f>
        <v>463226.61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128848.01</v>
      </c>
      <c r="G238" s="18">
        <v>59534.13</v>
      </c>
      <c r="H238" s="18">
        <v>15781.15</v>
      </c>
      <c r="I238" s="18">
        <v>31304.98</v>
      </c>
      <c r="J238" s="18">
        <v>5732.4</v>
      </c>
      <c r="K238" s="18"/>
      <c r="L238" s="19">
        <f t="shared" si="4"/>
        <v>241200.66999999998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335189.18</v>
      </c>
      <c r="G239" s="18">
        <v>102491.09</v>
      </c>
      <c r="H239" s="18">
        <v>77425.95</v>
      </c>
      <c r="I239" s="18">
        <v>5059.7</v>
      </c>
      <c r="J239" s="18">
        <v>17829.23</v>
      </c>
      <c r="K239" s="18">
        <v>6972.35</v>
      </c>
      <c r="L239" s="19">
        <f t="shared" si="4"/>
        <v>544967.5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364456.9</v>
      </c>
      <c r="G240" s="18">
        <v>178889.3</v>
      </c>
      <c r="H240" s="18">
        <v>33337.22</v>
      </c>
      <c r="I240" s="18">
        <v>12311.76</v>
      </c>
      <c r="J240" s="18"/>
      <c r="K240" s="18">
        <v>5811.5</v>
      </c>
      <c r="L240" s="19">
        <f t="shared" si="4"/>
        <v>594806.67999999993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237130.45</v>
      </c>
      <c r="G242" s="18">
        <v>116599.18</v>
      </c>
      <c r="H242" s="18">
        <v>487559.03</v>
      </c>
      <c r="I242" s="18">
        <v>296282.21999999997</v>
      </c>
      <c r="J242" s="18">
        <v>17607.189999999999</v>
      </c>
      <c r="K242" s="18"/>
      <c r="L242" s="19">
        <f t="shared" si="4"/>
        <v>1155178.0699999998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647307.06000000006</v>
      </c>
      <c r="I243" s="18">
        <v>88124.43</v>
      </c>
      <c r="J243" s="18"/>
      <c r="K243" s="18"/>
      <c r="L243" s="19">
        <f t="shared" si="4"/>
        <v>735431.49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4999160.5200000005</v>
      </c>
      <c r="G246" s="41">
        <f t="shared" si="5"/>
        <v>2116110.5699999998</v>
      </c>
      <c r="H246" s="41">
        <f t="shared" si="5"/>
        <v>1904300.79</v>
      </c>
      <c r="I246" s="41">
        <f t="shared" si="5"/>
        <v>618800.56000000006</v>
      </c>
      <c r="J246" s="41">
        <f t="shared" si="5"/>
        <v>180815.67</v>
      </c>
      <c r="K246" s="41">
        <f t="shared" si="5"/>
        <v>39268.449999999997</v>
      </c>
      <c r="L246" s="41">
        <f t="shared" si="5"/>
        <v>9858456.5599999987</v>
      </c>
      <c r="M246" s="8"/>
    </row>
    <row r="247" spans="1:13" s="3" customFormat="1" ht="12" customHeight="1" x14ac:dyDescent="0.15">
      <c r="A247" s="69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6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12862.5</v>
      </c>
      <c r="G250" s="18">
        <v>2447.61</v>
      </c>
      <c r="H250" s="18"/>
      <c r="I250" s="18"/>
      <c r="J250" s="18"/>
      <c r="K250" s="18"/>
      <c r="L250" s="19">
        <f t="shared" si="6"/>
        <v>15310.11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34503.75</v>
      </c>
      <c r="I254" s="18"/>
      <c r="J254" s="18"/>
      <c r="K254" s="18"/>
      <c r="L254" s="19">
        <f t="shared" si="6"/>
        <v>34503.75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12862.5</v>
      </c>
      <c r="G255" s="41">
        <f t="shared" si="7"/>
        <v>2447.61</v>
      </c>
      <c r="H255" s="41">
        <f t="shared" si="7"/>
        <v>34503.75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49813.86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16371873.18</v>
      </c>
      <c r="G256" s="41">
        <f t="shared" si="8"/>
        <v>6742714.9300000006</v>
      </c>
      <c r="H256" s="41">
        <f t="shared" si="8"/>
        <v>5429337.7999999998</v>
      </c>
      <c r="I256" s="41">
        <f t="shared" si="8"/>
        <v>1597409.5</v>
      </c>
      <c r="J256" s="41">
        <f t="shared" si="8"/>
        <v>357855.65</v>
      </c>
      <c r="K256" s="41">
        <f t="shared" si="8"/>
        <v>65427.38</v>
      </c>
      <c r="L256" s="41">
        <f t="shared" si="8"/>
        <v>30564618.439999998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2623611.7599999998</v>
      </c>
      <c r="L259" s="19">
        <f>SUM(F259:K259)</f>
        <v>2623611.7599999998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648032.91</v>
      </c>
      <c r="L260" s="19">
        <f>SUM(F260:K260)</f>
        <v>648032.91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117853.4</v>
      </c>
      <c r="L262" s="19">
        <f>SUM(F262:K262)</f>
        <v>117853.4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H178</f>
        <v>34503.75</v>
      </c>
      <c r="L263" s="19">
        <f t="shared" ref="L263:L269" si="9">SUM(F263:K263)</f>
        <v>34503.75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3499001.82</v>
      </c>
      <c r="L269" s="41">
        <f t="shared" si="9"/>
        <v>3499001.82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16371873.18</v>
      </c>
      <c r="G270" s="42">
        <f t="shared" si="11"/>
        <v>6742714.9300000006</v>
      </c>
      <c r="H270" s="42">
        <f t="shared" si="11"/>
        <v>5429337.7999999998</v>
      </c>
      <c r="I270" s="42">
        <f t="shared" si="11"/>
        <v>1597409.5</v>
      </c>
      <c r="J270" s="42">
        <f t="shared" si="11"/>
        <v>357855.65</v>
      </c>
      <c r="K270" s="42">
        <f t="shared" si="11"/>
        <v>3564429.1999999997</v>
      </c>
      <c r="L270" s="42">
        <f t="shared" si="11"/>
        <v>34063620.259999998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157510.89000000001</v>
      </c>
      <c r="G275" s="18">
        <v>31971.599999999999</v>
      </c>
      <c r="H275" s="18">
        <v>95302.59</v>
      </c>
      <c r="I275" s="18">
        <v>6506.54</v>
      </c>
      <c r="J275" s="18">
        <v>79932.820000000007</v>
      </c>
      <c r="K275" s="18"/>
      <c r="L275" s="19">
        <f>SUM(F275:K275)</f>
        <v>371224.44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72011.100000000006</v>
      </c>
      <c r="G276" s="18">
        <v>31252.79</v>
      </c>
      <c r="H276" s="18"/>
      <c r="I276" s="18">
        <v>10879.08</v>
      </c>
      <c r="J276" s="18">
        <v>28305.43</v>
      </c>
      <c r="K276" s="18"/>
      <c r="L276" s="19">
        <f>SUM(F276:K276)</f>
        <v>142448.40000000002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56348.33</v>
      </c>
      <c r="G280" s="18">
        <v>8293.65</v>
      </c>
      <c r="H280" s="18"/>
      <c r="I280" s="18">
        <v>1950.82</v>
      </c>
      <c r="J280" s="18"/>
      <c r="K280" s="18"/>
      <c r="L280" s="19">
        <f t="shared" ref="L280:L286" si="12">SUM(F280:K280)</f>
        <v>66592.800000000003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23277.14</v>
      </c>
      <c r="G281" s="18">
        <v>16932.939999999999</v>
      </c>
      <c r="H281" s="18">
        <f>5638.98-484</f>
        <v>5154.9799999999996</v>
      </c>
      <c r="I281" s="18">
        <v>741.76</v>
      </c>
      <c r="J281" s="18">
        <v>140.55000000000001</v>
      </c>
      <c r="K281" s="18"/>
      <c r="L281" s="19">
        <f t="shared" si="12"/>
        <v>46247.37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7017.77</v>
      </c>
      <c r="I282" s="18"/>
      <c r="J282" s="18"/>
      <c r="K282" s="18"/>
      <c r="L282" s="19">
        <f t="shared" si="12"/>
        <v>7017.77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35954.980000000003</v>
      </c>
      <c r="L287" s="19">
        <f>SUM(F287:K287)</f>
        <v>35954.980000000003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309147.46000000002</v>
      </c>
      <c r="G289" s="42">
        <f t="shared" si="13"/>
        <v>88450.98</v>
      </c>
      <c r="H289" s="42">
        <f t="shared" si="13"/>
        <v>107475.34</v>
      </c>
      <c r="I289" s="42">
        <f t="shared" si="13"/>
        <v>20078.199999999997</v>
      </c>
      <c r="J289" s="42">
        <f t="shared" si="13"/>
        <v>108378.8</v>
      </c>
      <c r="K289" s="42">
        <f t="shared" si="13"/>
        <v>35954.980000000003</v>
      </c>
      <c r="L289" s="41">
        <f t="shared" si="13"/>
        <v>669485.76</v>
      </c>
      <c r="M289" s="8"/>
    </row>
    <row r="290" spans="1:13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11138.2</v>
      </c>
      <c r="I294" s="18">
        <v>2355.9699999999998</v>
      </c>
      <c r="J294" s="18">
        <v>40688.14</v>
      </c>
      <c r="K294" s="18"/>
      <c r="L294" s="19">
        <f>SUM(F294:K294)</f>
        <v>54182.31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39278.79</v>
      </c>
      <c r="G295" s="18">
        <v>14628.98</v>
      </c>
      <c r="H295" s="18"/>
      <c r="I295" s="18">
        <v>3409.15</v>
      </c>
      <c r="J295" s="18">
        <v>2710.49</v>
      </c>
      <c r="K295" s="18"/>
      <c r="L295" s="19">
        <f>SUM(F295:K295)</f>
        <v>60027.41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26375.82</v>
      </c>
      <c r="G299" s="18">
        <v>3882.15</v>
      </c>
      <c r="H299" s="18"/>
      <c r="I299" s="18"/>
      <c r="J299" s="18"/>
      <c r="K299" s="18"/>
      <c r="L299" s="19">
        <f t="shared" ref="L299:L305" si="14">SUM(F299:K299)</f>
        <v>30257.97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1105.62-264</f>
        <v>841.61999999999989</v>
      </c>
      <c r="I300" s="18"/>
      <c r="J300" s="18"/>
      <c r="K300" s="18"/>
      <c r="L300" s="19">
        <f t="shared" si="14"/>
        <v>841.61999999999989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v>3827.87</v>
      </c>
      <c r="I301" s="18"/>
      <c r="J301" s="18"/>
      <c r="K301" s="18"/>
      <c r="L301" s="19">
        <f t="shared" si="14"/>
        <v>3827.87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>
        <v>7929.43</v>
      </c>
      <c r="L306" s="19">
        <f>SUM(F306:K306)</f>
        <v>7929.43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65654.61</v>
      </c>
      <c r="G308" s="42">
        <f t="shared" si="15"/>
        <v>18511.13</v>
      </c>
      <c r="H308" s="42">
        <f t="shared" si="15"/>
        <v>15807.689999999999</v>
      </c>
      <c r="I308" s="42">
        <f t="shared" si="15"/>
        <v>5765.12</v>
      </c>
      <c r="J308" s="42">
        <f t="shared" si="15"/>
        <v>43398.63</v>
      </c>
      <c r="K308" s="42">
        <f t="shared" si="15"/>
        <v>7929.43</v>
      </c>
      <c r="L308" s="41">
        <f t="shared" si="15"/>
        <v>157066.60999999999</v>
      </c>
    </row>
    <row r="309" spans="1:13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12720.78</v>
      </c>
      <c r="G313" s="18">
        <v>2480.2199999999998</v>
      </c>
      <c r="H313" s="18">
        <v>17658.95</v>
      </c>
      <c r="I313" s="18">
        <v>7297.37</v>
      </c>
      <c r="J313" s="18">
        <v>53416.56</v>
      </c>
      <c r="K313" s="18"/>
      <c r="L313" s="19">
        <f>SUM(F313:K313)</f>
        <v>93573.88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52371.71</v>
      </c>
      <c r="G314" s="18">
        <v>20613.55</v>
      </c>
      <c r="H314" s="18"/>
      <c r="I314" s="18">
        <v>3702.38</v>
      </c>
      <c r="J314" s="18">
        <v>3613.99</v>
      </c>
      <c r="K314" s="18"/>
      <c r="L314" s="19">
        <f>SUM(F314:K314)</f>
        <v>80301.63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37165.93</v>
      </c>
      <c r="G318" s="18">
        <v>5470.27</v>
      </c>
      <c r="H318" s="18">
        <v>480</v>
      </c>
      <c r="I318" s="18">
        <v>135</v>
      </c>
      <c r="J318" s="18"/>
      <c r="K318" s="18"/>
      <c r="L318" s="19">
        <f t="shared" ref="L318:L324" si="16">SUM(F318:K318)</f>
        <v>43251.199999999997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34931.25</v>
      </c>
      <c r="G319" s="18">
        <v>4720.5600000000004</v>
      </c>
      <c r="H319" s="18">
        <f>1806.91-352.01</f>
        <v>1454.9</v>
      </c>
      <c r="I319" s="18">
        <v>6683.96</v>
      </c>
      <c r="J319" s="18"/>
      <c r="K319" s="18"/>
      <c r="L319" s="19">
        <f t="shared" si="16"/>
        <v>47790.67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v>5103.83</v>
      </c>
      <c r="I320" s="18"/>
      <c r="J320" s="18"/>
      <c r="K320" s="18"/>
      <c r="L320" s="19">
        <f t="shared" si="16"/>
        <v>5103.83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557.61</v>
      </c>
      <c r="I324" s="18"/>
      <c r="J324" s="18"/>
      <c r="K324" s="18"/>
      <c r="L324" s="19">
        <f t="shared" si="16"/>
        <v>557.61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>
        <v>13185.24</v>
      </c>
      <c r="L325" s="19">
        <f>SUM(F325:K325)</f>
        <v>13185.24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137189.66999999998</v>
      </c>
      <c r="G327" s="42">
        <f t="shared" si="17"/>
        <v>33284.6</v>
      </c>
      <c r="H327" s="42">
        <f t="shared" si="17"/>
        <v>25255.29</v>
      </c>
      <c r="I327" s="42">
        <f t="shared" si="17"/>
        <v>17818.71</v>
      </c>
      <c r="J327" s="42">
        <f t="shared" si="17"/>
        <v>57030.549999999996</v>
      </c>
      <c r="K327" s="42">
        <f t="shared" si="17"/>
        <v>13185.24</v>
      </c>
      <c r="L327" s="41">
        <f t="shared" si="17"/>
        <v>283764.06</v>
      </c>
      <c r="M327" s="8"/>
    </row>
    <row r="328" spans="1:13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511991.74</v>
      </c>
      <c r="G337" s="41">
        <f t="shared" si="20"/>
        <v>140246.71</v>
      </c>
      <c r="H337" s="41">
        <f t="shared" si="20"/>
        <v>148538.32</v>
      </c>
      <c r="I337" s="41">
        <f t="shared" si="20"/>
        <v>43662.03</v>
      </c>
      <c r="J337" s="41">
        <f t="shared" si="20"/>
        <v>208807.97999999998</v>
      </c>
      <c r="K337" s="41">
        <f t="shared" si="20"/>
        <v>57069.65</v>
      </c>
      <c r="L337" s="41">
        <f t="shared" si="20"/>
        <v>1110316.43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511991.74</v>
      </c>
      <c r="G351" s="41">
        <f>G337</f>
        <v>140246.71</v>
      </c>
      <c r="H351" s="41">
        <f>H337</f>
        <v>148538.32</v>
      </c>
      <c r="I351" s="41">
        <f>I337</f>
        <v>43662.03</v>
      </c>
      <c r="J351" s="41">
        <f>J337</f>
        <v>208807.97999999998</v>
      </c>
      <c r="K351" s="47">
        <f>K337+K350</f>
        <v>57069.65</v>
      </c>
      <c r="L351" s="41">
        <f>L337+L350</f>
        <v>1110316.43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147757.51</v>
      </c>
      <c r="G357" s="18">
        <v>21875.05</v>
      </c>
      <c r="H357" s="18">
        <v>11537.68</v>
      </c>
      <c r="I357" s="18">
        <v>135042.81</v>
      </c>
      <c r="J357" s="18">
        <v>4433</v>
      </c>
      <c r="K357" s="18">
        <v>19.97</v>
      </c>
      <c r="L357" s="13">
        <f>SUM(F357:K357)</f>
        <v>320666.01999999996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49317.48</v>
      </c>
      <c r="G358" s="18">
        <v>6805.94</v>
      </c>
      <c r="H358" s="18">
        <v>2380.5</v>
      </c>
      <c r="I358" s="18">
        <v>93654.21</v>
      </c>
      <c r="J358" s="18"/>
      <c r="K358" s="18">
        <v>12.18</v>
      </c>
      <c r="L358" s="19">
        <f>SUM(F358:K358)</f>
        <v>152170.31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136753.21</v>
      </c>
      <c r="G359" s="18">
        <v>46177.66</v>
      </c>
      <c r="H359" s="18">
        <v>5099.05</v>
      </c>
      <c r="I359" s="18">
        <v>135767.38</v>
      </c>
      <c r="J359" s="18">
        <v>528</v>
      </c>
      <c r="K359" s="18">
        <v>18.25</v>
      </c>
      <c r="L359" s="19">
        <f>SUM(F359:K359)</f>
        <v>324343.55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333828.2</v>
      </c>
      <c r="G361" s="47">
        <f t="shared" si="22"/>
        <v>74858.649999999994</v>
      </c>
      <c r="H361" s="47">
        <f t="shared" si="22"/>
        <v>19017.23</v>
      </c>
      <c r="I361" s="47">
        <f t="shared" si="22"/>
        <v>364464.4</v>
      </c>
      <c r="J361" s="47">
        <f t="shared" si="22"/>
        <v>4961</v>
      </c>
      <c r="K361" s="47">
        <f t="shared" si="22"/>
        <v>50.4</v>
      </c>
      <c r="L361" s="47">
        <f t="shared" si="22"/>
        <v>797179.87999999989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272">
        <v>109704.04</v>
      </c>
      <c r="G366" s="272">
        <v>81364.38</v>
      </c>
      <c r="H366" s="272">
        <v>115855.39</v>
      </c>
      <c r="I366" s="56">
        <f>SUM(F366:H366)</f>
        <v>306923.81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272">
        <v>25338.77</v>
      </c>
      <c r="G367" s="272">
        <v>12289.83</v>
      </c>
      <c r="H367" s="272">
        <v>19911.990000000002</v>
      </c>
      <c r="I367" s="56">
        <f>SUM(F367:H367)</f>
        <v>57540.59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135042.81</v>
      </c>
      <c r="G368" s="47">
        <f>SUM(G366:G367)</f>
        <v>93654.21</v>
      </c>
      <c r="H368" s="47">
        <f>SUM(H366:H367)</f>
        <v>135767.38</v>
      </c>
      <c r="I368" s="47">
        <f>SUM(I366:I367)</f>
        <v>364464.4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1141336.05</v>
      </c>
      <c r="I377" s="18"/>
      <c r="J377" s="18"/>
      <c r="K377" s="18"/>
      <c r="L377" s="13">
        <f t="shared" si="23"/>
        <v>1141336.05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1141336.05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1141336.05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</row>
    <row r="386" spans="1:13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0</v>
      </c>
      <c r="H392" s="138">
        <f>SUM(H386:H391)</f>
        <v>0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3893.9</v>
      </c>
      <c r="I395" s="18"/>
      <c r="J395" s="24" t="s">
        <v>289</v>
      </c>
      <c r="K395" s="24" t="s">
        <v>289</v>
      </c>
      <c r="L395" s="56">
        <f t="shared" si="26"/>
        <v>53893.9</v>
      </c>
      <c r="M395" s="8"/>
    </row>
    <row r="396" spans="1:13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3169.4</v>
      </c>
      <c r="I396" s="18"/>
      <c r="J396" s="24" t="s">
        <v>289</v>
      </c>
      <c r="K396" s="24" t="s">
        <v>289</v>
      </c>
      <c r="L396" s="56">
        <f t="shared" si="26"/>
        <v>28169.4</v>
      </c>
      <c r="M396" s="8"/>
    </row>
    <row r="397" spans="1:13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>
        <f>J109</f>
        <v>14977.8</v>
      </c>
      <c r="J399" s="24" t="s">
        <v>289</v>
      </c>
      <c r="K399" s="24" t="s">
        <v>289</v>
      </c>
      <c r="L399" s="56">
        <f t="shared" si="26"/>
        <v>14977.8</v>
      </c>
      <c r="M399" s="8"/>
    </row>
    <row r="400" spans="1:13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7063.3</v>
      </c>
      <c r="I400" s="47">
        <f>SUM(I394:I399)</f>
        <v>14977.8</v>
      </c>
      <c r="J400" s="45" t="s">
        <v>289</v>
      </c>
      <c r="K400" s="45" t="s">
        <v>289</v>
      </c>
      <c r="L400" s="47">
        <f>SUM(L394:L399)</f>
        <v>97041.1</v>
      </c>
      <c r="M400" s="8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7063.3</v>
      </c>
      <c r="I407" s="47">
        <f>I392+I400+I406</f>
        <v>14977.8</v>
      </c>
      <c r="J407" s="24" t="s">
        <v>289</v>
      </c>
      <c r="K407" s="24" t="s">
        <v>289</v>
      </c>
      <c r="L407" s="47">
        <f>L392+L400+L406</f>
        <v>97041.1</v>
      </c>
      <c r="M407" s="8"/>
    </row>
    <row r="408" spans="1:21" s="3" customFormat="1" ht="12" customHeight="1" x14ac:dyDescent="0.15">
      <c r="A408" s="77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7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1669246.82</v>
      </c>
      <c r="G439" s="18"/>
      <c r="H439" s="18"/>
      <c r="I439" s="56">
        <f t="shared" si="33"/>
        <v>1669246.82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1669246.82</v>
      </c>
      <c r="G445" s="13">
        <f>SUM(G438:G444)</f>
        <v>0</v>
      </c>
      <c r="H445" s="13">
        <f>SUM(H438:H444)</f>
        <v>0</v>
      </c>
      <c r="I445" s="13">
        <f>SUM(I438:I444)</f>
        <v>1669246.82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0</v>
      </c>
      <c r="I451" s="71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1669246.82</v>
      </c>
      <c r="G458" s="18"/>
      <c r="H458" s="18"/>
      <c r="I458" s="56">
        <f t="shared" si="34"/>
        <v>1669246.82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1669246.82</v>
      </c>
      <c r="G459" s="82">
        <f>SUM(G453:G458)</f>
        <v>0</v>
      </c>
      <c r="H459" s="82">
        <f>SUM(H453:H458)</f>
        <v>0</v>
      </c>
      <c r="I459" s="82">
        <f>SUM(I453:I458)</f>
        <v>1669246.82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6" t="s">
        <v>433</v>
      </c>
      <c r="E460" s="81"/>
      <c r="F460" s="42">
        <f>F451+F459</f>
        <v>1669246.82</v>
      </c>
      <c r="G460" s="42">
        <f>G451+G459</f>
        <v>0</v>
      </c>
      <c r="H460" s="42">
        <f>H451+H459</f>
        <v>0</v>
      </c>
      <c r="I460" s="42">
        <f>I451+I459</f>
        <v>1669246.82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</row>
    <row r="464" spans="1:23" s="52" customFormat="1" ht="12" customHeight="1" x14ac:dyDescent="0.2">
      <c r="A464" s="188" t="s">
        <v>855</v>
      </c>
      <c r="B464" s="104">
        <v>19</v>
      </c>
      <c r="C464" s="110">
        <v>1</v>
      </c>
      <c r="D464" s="2" t="s">
        <v>433</v>
      </c>
      <c r="E464" s="110"/>
      <c r="F464" s="18">
        <f>F50-F467+F471</f>
        <v>1610552.1800000034</v>
      </c>
      <c r="G464" s="18">
        <f>G50-G467+G471</f>
        <v>14310.34999999986</v>
      </c>
      <c r="H464" s="18">
        <f>H50-H467+H471</f>
        <v>62357.520000000019</v>
      </c>
      <c r="I464" s="18">
        <f>I50-I467+I471</f>
        <v>1245809.44</v>
      </c>
      <c r="J464" s="18">
        <f>J50-J467+J471</f>
        <v>1572205.72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f>F192</f>
        <v>35008661.629999995</v>
      </c>
      <c r="G467" s="18">
        <f>G192</f>
        <v>797179.88</v>
      </c>
      <c r="H467" s="18">
        <f>H192</f>
        <v>1047958.9099999999</v>
      </c>
      <c r="I467" s="18">
        <f>I192</f>
        <v>304.01</v>
      </c>
      <c r="J467" s="18">
        <f>J192</f>
        <v>97041.1</v>
      </c>
      <c r="K467" s="24" t="s">
        <v>289</v>
      </c>
      <c r="L467" s="24" t="s">
        <v>289</v>
      </c>
    </row>
    <row r="468" spans="1:12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35008661.629999995</v>
      </c>
      <c r="G469" s="53">
        <f>SUM(G467:G468)</f>
        <v>797179.88</v>
      </c>
      <c r="H469" s="53">
        <f>SUM(H467:H468)</f>
        <v>1047958.9099999999</v>
      </c>
      <c r="I469" s="53">
        <f>SUM(I467:I468)</f>
        <v>304.01</v>
      </c>
      <c r="J469" s="53">
        <f>SUM(J467:J468)</f>
        <v>97041.1</v>
      </c>
      <c r="K469" s="24" t="s">
        <v>289</v>
      </c>
      <c r="L469" s="24" t="s">
        <v>289</v>
      </c>
    </row>
    <row r="470" spans="1:12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f>L270</f>
        <v>34063620.259999998</v>
      </c>
      <c r="G471" s="18">
        <f>L361</f>
        <v>797179.87999999989</v>
      </c>
      <c r="H471" s="18">
        <f>L351</f>
        <v>1110316.43</v>
      </c>
      <c r="I471" s="18">
        <f>L381</f>
        <v>1141336.05</v>
      </c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34063620.259999998</v>
      </c>
      <c r="G473" s="53">
        <f>SUM(G471:G472)</f>
        <v>797179.87999999989</v>
      </c>
      <c r="H473" s="53">
        <f>SUM(H471:H472)</f>
        <v>1110316.43</v>
      </c>
      <c r="I473" s="53">
        <f>SUM(I471:I472)</f>
        <v>1141336.05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9" t="s">
        <v>856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2555593.5500000045</v>
      </c>
      <c r="G475" s="53">
        <f>(G464+G469)- G473</f>
        <v>14310.349999999977</v>
      </c>
      <c r="H475" s="53">
        <f>(H464+H469)- H473</f>
        <v>0</v>
      </c>
      <c r="I475" s="53">
        <f>(I464+I469)- I473</f>
        <v>104777.39999999991</v>
      </c>
      <c r="J475" s="53">
        <f>(J464+J469)- J473</f>
        <v>1669246.82</v>
      </c>
      <c r="K475" s="24" t="s">
        <v>289</v>
      </c>
      <c r="L475" s="24" t="s">
        <v>289</v>
      </c>
    </row>
    <row r="476" spans="1:12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</row>
    <row r="477" spans="1:12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</row>
    <row r="478" spans="1:12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</row>
    <row r="479" spans="1:12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</row>
    <row r="480" spans="1:12" s="52" customFormat="1" ht="12" customHeight="1" x14ac:dyDescent="0.2">
      <c r="A480" s="174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</row>
    <row r="481" spans="1:12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</row>
    <row r="482" spans="1:12" s="52" customFormat="1" ht="12" customHeight="1" x14ac:dyDescent="0.2">
      <c r="A482" s="173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</row>
    <row r="483" spans="1:12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</row>
    <row r="484" spans="1:12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</row>
    <row r="485" spans="1:12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</row>
    <row r="486" spans="1:12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</row>
    <row r="487" spans="1:12" s="52" customFormat="1" ht="12" customHeight="1" x14ac:dyDescent="0.2">
      <c r="A487" s="190" t="s">
        <v>857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</row>
    <row r="488" spans="1:12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</row>
    <row r="489" spans="1:12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53">
        <v>15</v>
      </c>
      <c r="G489" s="153">
        <v>10</v>
      </c>
      <c r="H489" s="153">
        <v>10</v>
      </c>
      <c r="I489" s="153">
        <v>20</v>
      </c>
      <c r="J489" s="153">
        <v>15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270" t="s">
        <v>909</v>
      </c>
      <c r="G490" s="271" t="s">
        <v>910</v>
      </c>
      <c r="H490" s="271" t="s">
        <v>911</v>
      </c>
      <c r="I490" s="154" t="s">
        <v>912</v>
      </c>
      <c r="J490" s="270" t="s">
        <v>913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271" t="s">
        <v>914</v>
      </c>
      <c r="G491" s="271" t="s">
        <v>915</v>
      </c>
      <c r="H491" s="271" t="s">
        <v>916</v>
      </c>
      <c r="I491" s="154" t="s">
        <v>917</v>
      </c>
      <c r="J491" s="271" t="s">
        <v>918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6838167</v>
      </c>
      <c r="G492" s="18">
        <v>667500</v>
      </c>
      <c r="H492" s="18">
        <v>3259044</v>
      </c>
      <c r="I492" s="18">
        <v>24450150</v>
      </c>
      <c r="J492" s="18">
        <v>2231283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5.75</v>
      </c>
      <c r="G493" s="18">
        <v>3.8</v>
      </c>
      <c r="H493" s="18">
        <v>3.69</v>
      </c>
      <c r="I493" s="18">
        <v>4.6100000000000003</v>
      </c>
      <c r="J493" s="18">
        <v>4.375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655000</v>
      </c>
      <c r="G494" s="18">
        <v>130000</v>
      </c>
      <c r="H494" s="18">
        <v>1019610.95</v>
      </c>
      <c r="I494" s="18">
        <v>17129176.780000001</v>
      </c>
      <c r="J494" s="18">
        <v>2231283</v>
      </c>
      <c r="K494" s="53">
        <f>SUM(F494:J494)</f>
        <v>21165070.73</v>
      </c>
      <c r="L494" s="24" t="s">
        <v>289</v>
      </c>
    </row>
    <row r="495" spans="1:12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655000</v>
      </c>
      <c r="G496" s="18">
        <v>65000</v>
      </c>
      <c r="H496" s="18">
        <f>254152.77+18669.87</f>
        <v>272822.64</v>
      </c>
      <c r="I496" s="18">
        <v>1482036.92</v>
      </c>
      <c r="J496" s="18">
        <v>148752.20000000001</v>
      </c>
      <c r="K496" s="53">
        <f t="shared" si="35"/>
        <v>2623611.7600000002</v>
      </c>
      <c r="L496" s="24" t="s">
        <v>289</v>
      </c>
    </row>
    <row r="497" spans="1:12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0</v>
      </c>
      <c r="G497" s="204">
        <f>G494-G496</f>
        <v>65000</v>
      </c>
      <c r="H497" s="204">
        <f>H494-H496</f>
        <v>746788.30999999994</v>
      </c>
      <c r="I497" s="204">
        <f>I494-I496</f>
        <v>15647139.860000001</v>
      </c>
      <c r="J497" s="204">
        <f>J494-J496</f>
        <v>2082530.8</v>
      </c>
      <c r="K497" s="205">
        <f t="shared" si="35"/>
        <v>18541458.970000003</v>
      </c>
      <c r="L497" s="206" t="s">
        <v>289</v>
      </c>
    </row>
    <row r="498" spans="1:12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0</v>
      </c>
      <c r="G498" s="18">
        <v>1300</v>
      </c>
      <c r="H498" s="18">
        <v>421336.69</v>
      </c>
      <c r="I498" s="18">
        <v>12726072.67</v>
      </c>
      <c r="J498" s="18">
        <v>637971.18999999994</v>
      </c>
      <c r="K498" s="53">
        <f t="shared" si="35"/>
        <v>13786680.549999999</v>
      </c>
      <c r="L498" s="24" t="s">
        <v>289</v>
      </c>
    </row>
    <row r="499" spans="1:12" s="52" customFormat="1" ht="12" customHeight="1" thickTop="1" x14ac:dyDescent="0.2">
      <c r="A499" s="138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66300</v>
      </c>
      <c r="H499" s="42">
        <f>SUM(H497:H498)</f>
        <v>1168125</v>
      </c>
      <c r="I499" s="42">
        <f>SUM(I497:I498)</f>
        <v>28373212.530000001</v>
      </c>
      <c r="J499" s="42">
        <f>SUM(J497:J498)</f>
        <v>2720501.99</v>
      </c>
      <c r="K499" s="42">
        <f t="shared" si="35"/>
        <v>32328139.520000003</v>
      </c>
      <c r="L499" s="45" t="s">
        <v>289</v>
      </c>
    </row>
    <row r="500" spans="1:12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65000</v>
      </c>
      <c r="H500" s="204">
        <f>249881.94+12119.72</f>
        <v>262001.66</v>
      </c>
      <c r="I500" s="204">
        <v>1417309.36</v>
      </c>
      <c r="J500" s="204">
        <v>148752.20000000001</v>
      </c>
      <c r="K500" s="205">
        <f t="shared" si="35"/>
        <v>1893063.22</v>
      </c>
      <c r="L500" s="206" t="s">
        <v>289</v>
      </c>
    </row>
    <row r="501" spans="1:12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0</v>
      </c>
      <c r="G501" s="18">
        <v>1300</v>
      </c>
      <c r="H501" s="18">
        <v>128623.34</v>
      </c>
      <c r="I501" s="18">
        <v>475688.14</v>
      </c>
      <c r="J501" s="18">
        <v>88079.64</v>
      </c>
      <c r="K501" s="53">
        <f t="shared" si="35"/>
        <v>693691.12</v>
      </c>
      <c r="L501" s="24" t="s">
        <v>289</v>
      </c>
    </row>
    <row r="502" spans="1:12" s="52" customFormat="1" ht="12" customHeight="1" thickTop="1" x14ac:dyDescent="0.2">
      <c r="A502" s="138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66300</v>
      </c>
      <c r="H502" s="42">
        <f>SUM(H500:H501)</f>
        <v>390625</v>
      </c>
      <c r="I502" s="42">
        <f>SUM(I500:I501)</f>
        <v>1892997.5</v>
      </c>
      <c r="J502" s="42">
        <f>SUM(J500:J501)</f>
        <v>236831.84000000003</v>
      </c>
      <c r="K502" s="42">
        <f t="shared" si="35"/>
        <v>2586754.34</v>
      </c>
      <c r="L502" s="45" t="s">
        <v>289</v>
      </c>
    </row>
    <row r="503" spans="1:12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</row>
    <row r="504" spans="1:12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</row>
    <row r="505" spans="1:12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6" t="s">
        <v>858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</row>
    <row r="509" spans="1:12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5" t="s">
        <v>702</v>
      </c>
      <c r="B517" s="104"/>
      <c r="C517" s="114"/>
      <c r="D517" s="114"/>
      <c r="E517" s="114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5"/>
    </row>
    <row r="518" spans="1:13" s="52" customFormat="1" ht="12" customHeight="1" x14ac:dyDescent="0.2">
      <c r="A518" s="177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</row>
    <row r="519" spans="1:13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f>F197-24116.04+72571.1</f>
        <v>1747035.48</v>
      </c>
      <c r="G520" s="18">
        <f>G197-2563.7+31340.55</f>
        <v>606303.39000000013</v>
      </c>
      <c r="H520" s="18">
        <f>H197-440.17+5280</f>
        <v>334904.25</v>
      </c>
      <c r="I520" s="18">
        <f>I197-2518.38+44497.22</f>
        <v>71619.709999999992</v>
      </c>
      <c r="J520" s="18">
        <f>J197+43217.61</f>
        <v>43666.94</v>
      </c>
      <c r="K520" s="18">
        <f>K197+12290.68</f>
        <v>12290.68</v>
      </c>
      <c r="L520" s="87">
        <f>SUM(F520:K520)</f>
        <v>2815820.45</v>
      </c>
    </row>
    <row r="521" spans="1:13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f>F215-12673.97+39278.79</f>
        <v>989269.91</v>
      </c>
      <c r="G521" s="18">
        <f>G215-5080.93+14628.98</f>
        <v>283183.58</v>
      </c>
      <c r="H521" s="18">
        <f>H215-2754.62+2880</f>
        <v>305439.44</v>
      </c>
      <c r="I521" s="18">
        <f>I215-1373.65+5319.59</f>
        <v>17956.830000000002</v>
      </c>
      <c r="J521" s="18">
        <v>5607.58</v>
      </c>
      <c r="K521" s="18">
        <f>K215</f>
        <v>3056.67</v>
      </c>
      <c r="L521" s="87">
        <f>SUM(F521:K521)</f>
        <v>1604514.01</v>
      </c>
    </row>
    <row r="522" spans="1:13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f>F233+52371.71</f>
        <v>723779.85</v>
      </c>
      <c r="G522" s="18">
        <f>G233-130.76+20613.55</f>
        <v>209731.74999999997</v>
      </c>
      <c r="H522" s="18">
        <f>H233-5417.45+3840</f>
        <v>397942.26</v>
      </c>
      <c r="I522" s="18">
        <f>I233-1831.55+7092.75</f>
        <v>20929.190000000002</v>
      </c>
      <c r="J522" s="18">
        <f>J233+7476.77</f>
        <v>8941.27</v>
      </c>
      <c r="K522" s="18">
        <f>K233</f>
        <v>0</v>
      </c>
      <c r="L522" s="87">
        <f>SUM(F522:K522)</f>
        <v>1361324.3199999998</v>
      </c>
    </row>
    <row r="523" spans="1:13" s="52" customFormat="1" ht="12" customHeight="1" thickTop="1" x14ac:dyDescent="0.2">
      <c r="A523" s="138" t="s">
        <v>63</v>
      </c>
      <c r="B523" s="106">
        <v>21</v>
      </c>
      <c r="C523" s="195">
        <v>4</v>
      </c>
      <c r="D523" s="196" t="s">
        <v>433</v>
      </c>
      <c r="E523" s="195"/>
      <c r="F523" s="107">
        <f>SUM(F520:F522)</f>
        <v>3460085.24</v>
      </c>
      <c r="G523" s="107">
        <f t="shared" ref="G523:L523" si="36">SUM(G520:G522)</f>
        <v>1099218.7200000002</v>
      </c>
      <c r="H523" s="107">
        <f t="shared" si="36"/>
        <v>1038285.95</v>
      </c>
      <c r="I523" s="107">
        <f t="shared" si="36"/>
        <v>110505.73</v>
      </c>
      <c r="J523" s="107">
        <f t="shared" si="36"/>
        <v>58215.790000000008</v>
      </c>
      <c r="K523" s="107">
        <f t="shared" si="36"/>
        <v>15347.35</v>
      </c>
      <c r="L523" s="88">
        <f t="shared" si="36"/>
        <v>5781658.7799999993</v>
      </c>
    </row>
    <row r="524" spans="1:13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57393.33</v>
      </c>
      <c r="G525" s="18">
        <v>8446.01</v>
      </c>
      <c r="H525" s="18">
        <f>5121.98-484</f>
        <v>4637.9799999999996</v>
      </c>
      <c r="I525" s="18">
        <v>1050.78</v>
      </c>
      <c r="J525" s="18">
        <v>6348.02</v>
      </c>
      <c r="K525" s="18"/>
      <c r="L525" s="87">
        <f>SUM(F525:K525)</f>
        <v>77876.12</v>
      </c>
      <c r="M525" s="8"/>
    </row>
    <row r="526" spans="1:13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26375.82</v>
      </c>
      <c r="G526" s="18">
        <v>3882.15</v>
      </c>
      <c r="H526" s="18">
        <f>863.61-264</f>
        <v>599.61</v>
      </c>
      <c r="I526" s="18">
        <v>128.82</v>
      </c>
      <c r="J526" s="18"/>
      <c r="K526" s="18"/>
      <c r="L526" s="87">
        <f>SUM(F526:K526)</f>
        <v>30986.400000000001</v>
      </c>
      <c r="M526" s="8"/>
    </row>
    <row r="527" spans="1:13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37165.93</v>
      </c>
      <c r="G527" s="18">
        <v>5470.27</v>
      </c>
      <c r="H527" s="18">
        <f>1216.91-352.01</f>
        <v>864.90000000000009</v>
      </c>
      <c r="I527" s="18">
        <v>181.53</v>
      </c>
      <c r="J527" s="18"/>
      <c r="K527" s="18"/>
      <c r="L527" s="87">
        <f>SUM(F527:K527)</f>
        <v>43682.63</v>
      </c>
      <c r="M527" s="8"/>
    </row>
    <row r="528" spans="1:13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7" t="s">
        <v>433</v>
      </c>
      <c r="E528" s="106"/>
      <c r="F528" s="88">
        <f>SUM(F525:F527)</f>
        <v>120935.07999999999</v>
      </c>
      <c r="G528" s="88">
        <f t="shared" ref="G528:L528" si="37">SUM(G525:G527)</f>
        <v>17798.43</v>
      </c>
      <c r="H528" s="88">
        <f t="shared" si="37"/>
        <v>6102.49</v>
      </c>
      <c r="I528" s="88">
        <f t="shared" si="37"/>
        <v>1361.1299999999999</v>
      </c>
      <c r="J528" s="88">
        <f t="shared" si="37"/>
        <v>6348.02</v>
      </c>
      <c r="K528" s="88">
        <f t="shared" si="37"/>
        <v>0</v>
      </c>
      <c r="L528" s="88">
        <f t="shared" si="37"/>
        <v>152545.15</v>
      </c>
      <c r="M528" s="8"/>
    </row>
    <row r="529" spans="1:13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2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273">
        <v>55723.8</v>
      </c>
      <c r="G530" s="273">
        <v>23457.58</v>
      </c>
      <c r="H530" s="18"/>
      <c r="I530" s="18"/>
      <c r="J530" s="18"/>
      <c r="K530" s="18"/>
      <c r="L530" s="87">
        <f>SUM(F530:K530)</f>
        <v>79181.38</v>
      </c>
      <c r="M530" s="8"/>
    </row>
    <row r="531" spans="1:13" s="3" customFormat="1" ht="12" customHeight="1" x14ac:dyDescent="0.2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273">
        <v>30394.799999999999</v>
      </c>
      <c r="G531" s="273">
        <v>12795.05</v>
      </c>
      <c r="H531" s="18"/>
      <c r="I531" s="18"/>
      <c r="J531" s="18"/>
      <c r="K531" s="18"/>
      <c r="L531" s="87">
        <f>SUM(F531:K531)</f>
        <v>43189.85</v>
      </c>
      <c r="M531" s="8"/>
    </row>
    <row r="532" spans="1:13" s="3" customFormat="1" ht="12" customHeight="1" thickBot="1" x14ac:dyDescent="0.25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273">
        <v>40526.400000000001</v>
      </c>
      <c r="G532" s="273">
        <v>17060.060000000001</v>
      </c>
      <c r="H532" s="18"/>
      <c r="I532" s="18"/>
      <c r="J532" s="18"/>
      <c r="K532" s="18"/>
      <c r="L532" s="87">
        <f>SUM(F532:K532)</f>
        <v>57586.460000000006</v>
      </c>
      <c r="M532" s="8"/>
    </row>
    <row r="533" spans="1:13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7" t="s">
        <v>433</v>
      </c>
      <c r="E533" s="106"/>
      <c r="F533" s="88">
        <f>SUM(F530:F532)</f>
        <v>126645</v>
      </c>
      <c r="G533" s="88">
        <f t="shared" ref="G533:L533" si="38">SUM(G530:G532)</f>
        <v>53312.69</v>
      </c>
      <c r="H533" s="88">
        <f t="shared" si="38"/>
        <v>0</v>
      </c>
      <c r="I533" s="88">
        <f t="shared" si="38"/>
        <v>0</v>
      </c>
      <c r="J533" s="88">
        <f t="shared" si="38"/>
        <v>0</v>
      </c>
      <c r="K533" s="88">
        <f t="shared" si="38"/>
        <v>0</v>
      </c>
      <c r="L533" s="88">
        <f t="shared" si="38"/>
        <v>179957.69</v>
      </c>
      <c r="M533" s="8"/>
    </row>
    <row r="534" spans="1:13" s="3" customFormat="1" ht="12" customHeight="1" x14ac:dyDescent="0.15">
      <c r="A534" s="96" t="s">
        <v>68</v>
      </c>
      <c r="B534" s="104"/>
      <c r="C534" s="104"/>
      <c r="D534" s="104"/>
      <c r="E534" s="104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</row>
    <row r="535" spans="1:13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/>
      <c r="G535" s="18"/>
      <c r="H535" s="18"/>
      <c r="I535" s="18"/>
      <c r="J535" s="18"/>
      <c r="K535" s="18"/>
      <c r="L535" s="87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</row>
    <row r="538" spans="1:13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7" t="s">
        <v>433</v>
      </c>
      <c r="E538" s="106"/>
      <c r="F538" s="88">
        <f>SUM(F535:F537)</f>
        <v>0</v>
      </c>
      <c r="G538" s="88">
        <f t="shared" ref="G538:L538" si="39">SUM(G535:G537)</f>
        <v>0</v>
      </c>
      <c r="H538" s="88">
        <f t="shared" si="39"/>
        <v>0</v>
      </c>
      <c r="I538" s="88">
        <f t="shared" si="39"/>
        <v>0</v>
      </c>
      <c r="J538" s="88">
        <f t="shared" si="39"/>
        <v>0</v>
      </c>
      <c r="K538" s="88">
        <f t="shared" si="39"/>
        <v>0</v>
      </c>
      <c r="L538" s="88">
        <f t="shared" si="39"/>
        <v>0</v>
      </c>
      <c r="M538" s="8"/>
    </row>
    <row r="539" spans="1:13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/>
      <c r="G540" s="18"/>
      <c r="H540" s="18">
        <f>H591</f>
        <v>154496.1</v>
      </c>
      <c r="I540" s="18"/>
      <c r="J540" s="18"/>
      <c r="K540" s="18"/>
      <c r="L540" s="87">
        <f>SUM(F540:K540)</f>
        <v>154496.1</v>
      </c>
      <c r="M540" s="8"/>
    </row>
    <row r="541" spans="1:13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/>
      <c r="G541" s="18"/>
      <c r="H541" s="18">
        <f>I591</f>
        <v>84270.6</v>
      </c>
      <c r="I541" s="18"/>
      <c r="J541" s="18"/>
      <c r="K541" s="18"/>
      <c r="L541" s="87">
        <f>SUM(F541:K541)</f>
        <v>84270.6</v>
      </c>
      <c r="M541" s="8"/>
    </row>
    <row r="542" spans="1:13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/>
      <c r="G542" s="18"/>
      <c r="H542" s="18">
        <f>J591</f>
        <v>112360.8</v>
      </c>
      <c r="I542" s="18"/>
      <c r="J542" s="18"/>
      <c r="K542" s="18"/>
      <c r="L542" s="87">
        <f>SUM(F542:K542)</f>
        <v>112360.8</v>
      </c>
      <c r="M542" s="8"/>
    </row>
    <row r="543" spans="1:13" s="3" customFormat="1" ht="12" customHeight="1" thickTop="1" thickBot="1" x14ac:dyDescent="0.2">
      <c r="A543" s="129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351127.5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351127.5</v>
      </c>
      <c r="M543" s="8"/>
    </row>
    <row r="544" spans="1:13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7" t="s">
        <v>433</v>
      </c>
      <c r="E544" s="106"/>
      <c r="F544" s="88">
        <f>F523+F528+F533+F538+F543</f>
        <v>3707665.3200000003</v>
      </c>
      <c r="G544" s="88">
        <f t="shared" ref="G544:L544" si="41">G523+G528+G533+G538+G543</f>
        <v>1170329.8400000001</v>
      </c>
      <c r="H544" s="88">
        <f t="shared" si="41"/>
        <v>1395515.94</v>
      </c>
      <c r="I544" s="88">
        <f t="shared" si="41"/>
        <v>111866.86</v>
      </c>
      <c r="J544" s="88">
        <f t="shared" si="41"/>
        <v>64563.810000000012</v>
      </c>
      <c r="K544" s="88">
        <f t="shared" si="41"/>
        <v>15347.35</v>
      </c>
      <c r="L544" s="88">
        <f t="shared" si="41"/>
        <v>6465289.1200000001</v>
      </c>
      <c r="M544" s="8"/>
    </row>
    <row r="545" spans="1:13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</row>
    <row r="546" spans="1:13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</row>
    <row r="547" spans="1:13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2815820.45</v>
      </c>
      <c r="G548" s="86">
        <f>L525</f>
        <v>77876.12</v>
      </c>
      <c r="H548" s="86">
        <f>L530</f>
        <v>79181.38</v>
      </c>
      <c r="I548" s="86">
        <f>L535</f>
        <v>0</v>
      </c>
      <c r="J548" s="86">
        <f>L540</f>
        <v>154496.1</v>
      </c>
      <c r="K548" s="86">
        <f>SUM(F548:J548)</f>
        <v>3127374.0500000003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1604514.01</v>
      </c>
      <c r="G549" s="86">
        <f>L526</f>
        <v>30986.400000000001</v>
      </c>
      <c r="H549" s="86">
        <f>L531</f>
        <v>43189.85</v>
      </c>
      <c r="I549" s="86">
        <f>L536</f>
        <v>0</v>
      </c>
      <c r="J549" s="86">
        <f>L541</f>
        <v>84270.6</v>
      </c>
      <c r="K549" s="86">
        <f>SUM(F549:J549)</f>
        <v>1762960.86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1361324.3199999998</v>
      </c>
      <c r="G550" s="86">
        <f>L527</f>
        <v>43682.63</v>
      </c>
      <c r="H550" s="86">
        <f>L532</f>
        <v>57586.460000000006</v>
      </c>
      <c r="I550" s="86">
        <f>L537</f>
        <v>0</v>
      </c>
      <c r="J550" s="86">
        <f>L542</f>
        <v>112360.8</v>
      </c>
      <c r="K550" s="86">
        <f>SUM(F550:J550)</f>
        <v>1574954.2099999997</v>
      </c>
      <c r="L550" s="24" t="s">
        <v>289</v>
      </c>
      <c r="M550" s="8"/>
    </row>
    <row r="551" spans="1:13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2">SUM(F548:F550)</f>
        <v>5781658.7799999993</v>
      </c>
      <c r="G551" s="88">
        <f t="shared" si="42"/>
        <v>152545.15</v>
      </c>
      <c r="H551" s="88">
        <f t="shared" si="42"/>
        <v>179957.69</v>
      </c>
      <c r="I551" s="88">
        <f t="shared" si="42"/>
        <v>0</v>
      </c>
      <c r="J551" s="88">
        <f t="shared" si="42"/>
        <v>351127.5</v>
      </c>
      <c r="K551" s="88">
        <f t="shared" si="42"/>
        <v>6465289.1200000001</v>
      </c>
      <c r="L551" s="24"/>
      <c r="M551" s="8"/>
    </row>
    <row r="552" spans="1:13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</row>
    <row r="553" spans="1:13" s="3" customFormat="1" ht="12" customHeight="1" x14ac:dyDescent="0.15">
      <c r="B553" s="104"/>
      <c r="C553" s="114"/>
      <c r="D553" s="114"/>
      <c r="E553" s="114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5"/>
      <c r="M553" s="8"/>
    </row>
    <row r="554" spans="1:13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</row>
    <row r="555" spans="1:13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/>
      <c r="G556" s="18"/>
      <c r="H556" s="18"/>
      <c r="I556" s="18"/>
      <c r="J556" s="18"/>
      <c r="K556" s="18"/>
      <c r="L556" s="87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</row>
    <row r="559" spans="1:13" s="3" customFormat="1" ht="12" customHeight="1" thickTop="1" x14ac:dyDescent="0.15">
      <c r="A559" s="138" t="s">
        <v>63</v>
      </c>
      <c r="B559" s="106">
        <v>22</v>
      </c>
      <c r="C559" s="195">
        <v>4</v>
      </c>
      <c r="D559" s="196" t="s">
        <v>433</v>
      </c>
      <c r="E559" s="195"/>
      <c r="F559" s="107">
        <f t="shared" ref="F559:L559" si="43">SUM(F556:F558)</f>
        <v>0</v>
      </c>
      <c r="G559" s="107">
        <f t="shared" si="43"/>
        <v>0</v>
      </c>
      <c r="H559" s="107">
        <f t="shared" si="43"/>
        <v>0</v>
      </c>
      <c r="I559" s="107">
        <f t="shared" si="43"/>
        <v>0</v>
      </c>
      <c r="J559" s="107">
        <f t="shared" si="43"/>
        <v>0</v>
      </c>
      <c r="K559" s="107">
        <f t="shared" si="43"/>
        <v>0</v>
      </c>
      <c r="L559" s="88">
        <f t="shared" si="43"/>
        <v>0</v>
      </c>
      <c r="M559" s="8"/>
    </row>
    <row r="560" spans="1:13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/>
      <c r="G561" s="18"/>
      <c r="H561" s="18"/>
      <c r="I561" s="18"/>
      <c r="J561" s="18"/>
      <c r="K561" s="18"/>
      <c r="L561" s="87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/>
      <c r="G562" s="18"/>
      <c r="H562" s="18"/>
      <c r="I562" s="18"/>
      <c r="J562" s="18"/>
      <c r="K562" s="18"/>
      <c r="L562" s="87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/>
      <c r="G563" s="18"/>
      <c r="H563" s="18"/>
      <c r="I563" s="18"/>
      <c r="J563" s="18"/>
      <c r="K563" s="18"/>
      <c r="L563" s="87">
        <f>SUM(F563:K563)</f>
        <v>0</v>
      </c>
      <c r="M563" s="8"/>
    </row>
    <row r="564" spans="1:13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6" t="s">
        <v>433</v>
      </c>
      <c r="E564" s="106"/>
      <c r="F564" s="88">
        <f t="shared" ref="F564:L564" si="44">SUM(F561:F563)</f>
        <v>0</v>
      </c>
      <c r="G564" s="88">
        <f t="shared" si="44"/>
        <v>0</v>
      </c>
      <c r="H564" s="88">
        <f t="shared" si="44"/>
        <v>0</v>
      </c>
      <c r="I564" s="88">
        <f t="shared" si="44"/>
        <v>0</v>
      </c>
      <c r="J564" s="88">
        <f t="shared" si="44"/>
        <v>0</v>
      </c>
      <c r="K564" s="88">
        <f t="shared" si="44"/>
        <v>0</v>
      </c>
      <c r="L564" s="88">
        <f t="shared" si="44"/>
        <v>0</v>
      </c>
      <c r="M564" s="8"/>
    </row>
    <row r="565" spans="1:13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/>
      <c r="G566" s="18"/>
      <c r="H566" s="18"/>
      <c r="I566" s="18"/>
      <c r="J566" s="18"/>
      <c r="K566" s="18"/>
      <c r="L566" s="87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</row>
    <row r="569" spans="1:13" s="3" customFormat="1" ht="12" customHeight="1" thickTop="1" thickBot="1" x14ac:dyDescent="0.2">
      <c r="A569" s="129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</row>
    <row r="570" spans="1:13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7" t="s">
        <v>433</v>
      </c>
      <c r="E570" s="106"/>
      <c r="F570" s="88">
        <f>F559+F564+F569</f>
        <v>0</v>
      </c>
      <c r="G570" s="88">
        <f t="shared" ref="G570:L570" si="46">G559+G564+G569</f>
        <v>0</v>
      </c>
      <c r="H570" s="88">
        <f t="shared" si="46"/>
        <v>0</v>
      </c>
      <c r="I570" s="88">
        <f t="shared" si="46"/>
        <v>0</v>
      </c>
      <c r="J570" s="88">
        <f t="shared" si="46"/>
        <v>0</v>
      </c>
      <c r="K570" s="88">
        <f t="shared" si="46"/>
        <v>0</v>
      </c>
      <c r="L570" s="88">
        <f t="shared" si="46"/>
        <v>0</v>
      </c>
      <c r="M570" s="8"/>
    </row>
    <row r="571" spans="1:13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</row>
    <row r="572" spans="1:13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</row>
    <row r="573" spans="1:13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/>
      <c r="G574" s="18"/>
      <c r="H574" s="18"/>
      <c r="I574" s="86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/>
      <c r="G575" s="18"/>
      <c r="H575" s="18"/>
      <c r="I575" s="86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/>
      <c r="I576" s="86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/>
      <c r="G577" s="18"/>
      <c r="H577" s="18"/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/>
      <c r="G578" s="18"/>
      <c r="H578" s="18"/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/>
      <c r="G579" s="18"/>
      <c r="H579" s="18"/>
      <c r="I579" s="86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5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/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5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v>203861.77</v>
      </c>
      <c r="G581" s="18">
        <v>231041.53</v>
      </c>
      <c r="H581" s="18">
        <v>302497.11</v>
      </c>
      <c r="I581" s="86">
        <f t="shared" si="47"/>
        <v>737400.40999999992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5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/>
      <c r="G582" s="18"/>
      <c r="H582" s="18"/>
      <c r="I582" s="86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/>
      <c r="G583" s="18"/>
      <c r="H583" s="18">
        <f>H234</f>
        <v>18722.46</v>
      </c>
      <c r="I583" s="86">
        <f t="shared" si="47"/>
        <v>18722.46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/>
      <c r="G584" s="18"/>
      <c r="H584" s="18"/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/>
      <c r="G586" s="18"/>
      <c r="H586" s="18"/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2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</row>
    <row r="588" spans="1:13" s="3" customFormat="1" ht="12" customHeight="1" x14ac:dyDescent="0.15">
      <c r="A588" s="146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</row>
    <row r="589" spans="1:13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</row>
    <row r="590" spans="1:13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939449.75</v>
      </c>
      <c r="I590" s="18">
        <v>462998.2</v>
      </c>
      <c r="J590" s="18">
        <v>572455.28</v>
      </c>
      <c r="K590" s="103">
        <f t="shared" ref="K590:K596" si="48">SUM(H590:J590)</f>
        <v>1974903.23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154496.1</v>
      </c>
      <c r="I591" s="18">
        <v>84270.6</v>
      </c>
      <c r="J591" s="18">
        <v>112360.8</v>
      </c>
      <c r="K591" s="103">
        <f t="shared" si="48"/>
        <v>351127.5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/>
      <c r="I592" s="18"/>
      <c r="J592" s="18">
        <v>7139.98</v>
      </c>
      <c r="K592" s="103">
        <f t="shared" si="48"/>
        <v>7139.98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/>
      <c r="I593" s="18">
        <v>8077.58</v>
      </c>
      <c r="J593" s="18">
        <v>35273.730000000003</v>
      </c>
      <c r="K593" s="103">
        <f t="shared" si="48"/>
        <v>43351.310000000005</v>
      </c>
      <c r="L593" s="24" t="s">
        <v>289</v>
      </c>
      <c r="M593" s="8"/>
    </row>
    <row r="594" spans="1:13" s="3" customFormat="1" ht="12" customHeight="1" x14ac:dyDescent="0.15">
      <c r="A594" s="170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22495.86</v>
      </c>
      <c r="I594" s="18">
        <v>11418.25</v>
      </c>
      <c r="J594" s="18">
        <v>8201.7000000000007</v>
      </c>
      <c r="K594" s="103">
        <f t="shared" si="48"/>
        <v>42115.81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/>
      <c r="I595" s="18"/>
      <c r="J595" s="18"/>
      <c r="K595" s="103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7">
        <f>SUM(H590:H596)</f>
        <v>1116441.7100000002</v>
      </c>
      <c r="I597" s="107">
        <f>SUM(I590:I596)</f>
        <v>566764.63</v>
      </c>
      <c r="J597" s="107">
        <f>SUM(J590:J596)</f>
        <v>735431.49</v>
      </c>
      <c r="K597" s="107">
        <f>SUM(K590:K596)</f>
        <v>2418637.83</v>
      </c>
      <c r="L597" s="24" t="s">
        <v>289</v>
      </c>
      <c r="M597" s="8"/>
    </row>
    <row r="598" spans="1:13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</row>
    <row r="599" spans="1:13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</row>
    <row r="601" spans="1:13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/>
      <c r="I601" s="18"/>
      <c r="J601" s="18"/>
      <c r="K601" s="103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/>
      <c r="I602" s="18"/>
      <c r="J602" s="18"/>
      <c r="K602" s="103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f>J210+J289</f>
        <v>221470.71000000002</v>
      </c>
      <c r="I603" s="18">
        <f>J228+J308</f>
        <v>107346.70000000001</v>
      </c>
      <c r="J603" s="18">
        <f>J246+J327</f>
        <v>237846.22</v>
      </c>
      <c r="K603" s="103">
        <f>SUM(H603:J603)</f>
        <v>566663.63</v>
      </c>
      <c r="L603" s="24" t="s">
        <v>289</v>
      </c>
      <c r="M603" s="8"/>
    </row>
    <row r="604" spans="1:13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7">
        <f>SUM(H601:H603)</f>
        <v>221470.71000000002</v>
      </c>
      <c r="I604" s="107">
        <f>SUM(I601:I603)</f>
        <v>107346.70000000001</v>
      </c>
      <c r="J604" s="107">
        <f>SUM(J601:J603)</f>
        <v>237846.22</v>
      </c>
      <c r="K604" s="107">
        <f>SUM(K601:K603)</f>
        <v>566663.63</v>
      </c>
      <c r="L604" s="24" t="s">
        <v>289</v>
      </c>
      <c r="M604" s="8"/>
    </row>
    <row r="605" spans="1:13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</row>
    <row r="606" spans="1:13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</row>
    <row r="607" spans="1:13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</row>
    <row r="608" spans="1:13" s="3" customFormat="1" ht="12" customHeight="1" x14ac:dyDescent="0.15">
      <c r="B608" s="104"/>
      <c r="C608" s="104"/>
      <c r="D608" s="104"/>
      <c r="E608" s="104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7"/>
      <c r="M608" s="8"/>
    </row>
    <row r="609" spans="1:13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</row>
    <row r="610" spans="1:13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25270.35</v>
      </c>
      <c r="G610" s="18">
        <v>3961.48</v>
      </c>
      <c r="H610" s="18"/>
      <c r="I610" s="18">
        <v>259.73</v>
      </c>
      <c r="J610" s="18"/>
      <c r="K610" s="18"/>
      <c r="L610" s="87">
        <f>SUM(F610:K610)</f>
        <v>29491.559999999998</v>
      </c>
      <c r="M610" s="8"/>
    </row>
    <row r="611" spans="1:13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34223.17</v>
      </c>
      <c r="G611" s="18">
        <v>4947.24</v>
      </c>
      <c r="H611" s="18">
        <v>230.88</v>
      </c>
      <c r="I611" s="18">
        <v>708.52</v>
      </c>
      <c r="J611" s="18"/>
      <c r="K611" s="18"/>
      <c r="L611" s="87">
        <f>SUM(F611:K611)</f>
        <v>40109.80999999999</v>
      </c>
      <c r="M611" s="8"/>
    </row>
    <row r="612" spans="1:13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47260.58</v>
      </c>
      <c r="G612" s="18">
        <v>6832.14</v>
      </c>
      <c r="H612" s="18"/>
      <c r="I612" s="18">
        <v>581.42999999999995</v>
      </c>
      <c r="J612" s="18"/>
      <c r="K612" s="18"/>
      <c r="L612" s="87">
        <f>SUM(F612:K612)</f>
        <v>54674.15</v>
      </c>
      <c r="M612" s="8"/>
    </row>
    <row r="613" spans="1:13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49">SUM(F610:F612)</f>
        <v>106754.1</v>
      </c>
      <c r="G613" s="107">
        <f t="shared" si="49"/>
        <v>15740.86</v>
      </c>
      <c r="H613" s="107">
        <f t="shared" si="49"/>
        <v>230.88</v>
      </c>
      <c r="I613" s="107">
        <f t="shared" si="49"/>
        <v>1549.6799999999998</v>
      </c>
      <c r="J613" s="107">
        <f t="shared" si="49"/>
        <v>0</v>
      </c>
      <c r="K613" s="107">
        <f t="shared" si="49"/>
        <v>0</v>
      </c>
      <c r="L613" s="88">
        <f t="shared" si="49"/>
        <v>124275.51999999999</v>
      </c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49" t="s">
        <v>53</v>
      </c>
      <c r="G615" s="150"/>
      <c r="H615" s="150"/>
      <c r="I615" s="149" t="s">
        <v>53</v>
      </c>
      <c r="J615" s="108"/>
      <c r="K615" s="108"/>
      <c r="L615" s="108"/>
      <c r="M615" s="8"/>
    </row>
    <row r="616" spans="1:13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3876729.11</v>
      </c>
      <c r="H616" s="108">
        <f>SUM(F51)</f>
        <v>3876729.11</v>
      </c>
      <c r="I616" s="120" t="s">
        <v>901</v>
      </c>
      <c r="J616" s="108">
        <f>G616-H616</f>
        <v>0</v>
      </c>
      <c r="K616" s="108"/>
      <c r="L616" s="108"/>
      <c r="M616" s="8"/>
    </row>
    <row r="617" spans="1:13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882884.77000000014</v>
      </c>
      <c r="H617" s="108">
        <f>SUM(G51)</f>
        <v>882884.77</v>
      </c>
      <c r="I617" s="120" t="s">
        <v>902</v>
      </c>
      <c r="J617" s="108">
        <f>G617-H617</f>
        <v>0</v>
      </c>
      <c r="K617" s="108"/>
      <c r="L617" s="108"/>
      <c r="M617" s="8"/>
    </row>
    <row r="618" spans="1:13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430189.95</v>
      </c>
      <c r="H618" s="108">
        <f>SUM(H51)</f>
        <v>430189.95</v>
      </c>
      <c r="I618" s="120" t="s">
        <v>903</v>
      </c>
      <c r="J618" s="108">
        <f>G618-H618</f>
        <v>0</v>
      </c>
      <c r="K618" s="108"/>
      <c r="L618" s="108"/>
      <c r="M618" s="8"/>
    </row>
    <row r="619" spans="1:13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172322.24</v>
      </c>
      <c r="H619" s="108">
        <f>SUM(I51)</f>
        <v>172322.24</v>
      </c>
      <c r="I619" s="120" t="s">
        <v>904</v>
      </c>
      <c r="J619" s="108">
        <f>G619-H619</f>
        <v>0</v>
      </c>
      <c r="K619" s="108"/>
      <c r="L619" s="108"/>
      <c r="M619" s="8"/>
    </row>
    <row r="620" spans="1:13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1669246.82</v>
      </c>
      <c r="H620" s="108">
        <f>SUM(J51)</f>
        <v>1669246.82</v>
      </c>
      <c r="I620" s="120" t="s">
        <v>905</v>
      </c>
      <c r="J620" s="108">
        <f>G620-H620</f>
        <v>0</v>
      </c>
      <c r="K620" s="108"/>
      <c r="L620" s="108"/>
      <c r="M620" s="8"/>
    </row>
    <row r="621" spans="1:13" s="3" customFormat="1" ht="12" customHeight="1" x14ac:dyDescent="0.15">
      <c r="A621" s="96"/>
      <c r="B621" s="104"/>
      <c r="C621" s="104"/>
      <c r="D621" s="104"/>
      <c r="E621" s="104"/>
      <c r="F621" s="120" t="s">
        <v>896</v>
      </c>
      <c r="G621" s="108">
        <f>F50</f>
        <v>2555593.5499999998</v>
      </c>
      <c r="H621" s="108">
        <f>F475</f>
        <v>2555593.5500000045</v>
      </c>
      <c r="I621" s="120" t="s">
        <v>101</v>
      </c>
      <c r="J621" s="108">
        <f t="shared" ref="J621:J654" si="50">G621-H621</f>
        <v>-4.6566128730773926E-9</v>
      </c>
      <c r="K621" s="108"/>
      <c r="L621" s="108"/>
      <c r="M621" s="8"/>
    </row>
    <row r="622" spans="1:13" s="3" customFormat="1" ht="12" customHeight="1" x14ac:dyDescent="0.15">
      <c r="A622" s="96"/>
      <c r="B622" s="104"/>
      <c r="C622" s="118"/>
      <c r="D622" s="118"/>
      <c r="E622" s="118"/>
      <c r="F622" s="118" t="s">
        <v>897</v>
      </c>
      <c r="G622" s="108">
        <f>G50</f>
        <v>14310.35</v>
      </c>
      <c r="H622" s="108">
        <f>G475</f>
        <v>14310.349999999977</v>
      </c>
      <c r="I622" s="120" t="s">
        <v>102</v>
      </c>
      <c r="J622" s="108">
        <f t="shared" si="50"/>
        <v>2.3646862246096134E-11</v>
      </c>
      <c r="K622" s="108"/>
      <c r="L622" s="108"/>
      <c r="M622" s="8"/>
    </row>
    <row r="623" spans="1:13" s="3" customFormat="1" ht="12" customHeight="1" x14ac:dyDescent="0.15">
      <c r="A623" s="96"/>
      <c r="B623" s="104"/>
      <c r="C623" s="104"/>
      <c r="D623" s="104"/>
      <c r="E623" s="104"/>
      <c r="F623" s="119" t="s">
        <v>898</v>
      </c>
      <c r="G623" s="108">
        <f>H50</f>
        <v>0</v>
      </c>
      <c r="H623" s="108">
        <f>H475</f>
        <v>0</v>
      </c>
      <c r="I623" s="120" t="s">
        <v>103</v>
      </c>
      <c r="J623" s="108">
        <f t="shared" si="50"/>
        <v>0</v>
      </c>
      <c r="K623" s="108"/>
      <c r="L623" s="108"/>
      <c r="M623" s="8"/>
    </row>
    <row r="624" spans="1:13" s="3" customFormat="1" ht="12" customHeight="1" x14ac:dyDescent="0.15">
      <c r="A624" s="96"/>
      <c r="B624" s="104"/>
      <c r="C624" s="104"/>
      <c r="D624" s="104"/>
      <c r="E624" s="104"/>
      <c r="F624" s="119" t="s">
        <v>899</v>
      </c>
      <c r="G624" s="108">
        <f>I50</f>
        <v>104777.40000000001</v>
      </c>
      <c r="H624" s="108">
        <f>I475</f>
        <v>104777.39999999991</v>
      </c>
      <c r="I624" s="120" t="s">
        <v>104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900</v>
      </c>
      <c r="G625" s="108">
        <f>J50</f>
        <v>1669246.82</v>
      </c>
      <c r="H625" s="108">
        <f>J475</f>
        <v>1669246.82</v>
      </c>
      <c r="I625" s="139" t="s">
        <v>105</v>
      </c>
      <c r="J625" s="108">
        <f t="shared" si="50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35008661.629999995</v>
      </c>
      <c r="H626" s="103">
        <f>SUM(F467)</f>
        <v>35008661.629999995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797179.88</v>
      </c>
      <c r="H627" s="103">
        <f>SUM(G467)</f>
        <v>797179.88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1047958.9099999999</v>
      </c>
      <c r="H628" s="103">
        <f>SUM(H467)</f>
        <v>1047958.9099999999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304.01</v>
      </c>
      <c r="H629" s="103">
        <f>SUM(I467)</f>
        <v>304.01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97041.1</v>
      </c>
      <c r="H630" s="103">
        <f>SUM(J467)</f>
        <v>97041.1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34063620.259999998</v>
      </c>
      <c r="H631" s="103">
        <f>SUM(F471)</f>
        <v>34063620.259999998</v>
      </c>
      <c r="I631" s="139" t="s">
        <v>111</v>
      </c>
      <c r="J631" s="108">
        <f t="shared" si="50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1110316.43</v>
      </c>
      <c r="H632" s="103">
        <f>SUM(H471)</f>
        <v>1110316.43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364464.4</v>
      </c>
      <c r="H633" s="103">
        <f>I368</f>
        <v>364464.4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8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797179.87999999989</v>
      </c>
      <c r="H634" s="103">
        <f>SUM(G471)</f>
        <v>797179.87999999989</v>
      </c>
      <c r="I634" s="139" t="s">
        <v>114</v>
      </c>
      <c r="J634" s="108">
        <f t="shared" si="50"/>
        <v>0</v>
      </c>
      <c r="K634" s="84"/>
      <c r="L634" s="87"/>
      <c r="M634" s="167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1141336.05</v>
      </c>
      <c r="H635" s="103">
        <f>SUM(I471)</f>
        <v>1141336.05</v>
      </c>
      <c r="I635" s="139" t="s">
        <v>116</v>
      </c>
      <c r="J635" s="108">
        <f t="shared" si="50"/>
        <v>0</v>
      </c>
      <c r="K635" s="84"/>
      <c r="L635" s="87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97041.1</v>
      </c>
      <c r="H636" s="163">
        <f>SUM(J467)</f>
        <v>97041.1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0</v>
      </c>
      <c r="H637" s="163">
        <f>SUM(J471)</f>
        <v>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1669246.82</v>
      </c>
      <c r="H638" s="103">
        <f>SUM(F460)</f>
        <v>1669246.82</v>
      </c>
      <c r="I638" s="139" t="s">
        <v>868</v>
      </c>
      <c r="J638" s="108">
        <f t="shared" si="50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0</v>
      </c>
      <c r="H639" s="103">
        <f>SUM(G460)</f>
        <v>0</v>
      </c>
      <c r="I639" s="139" t="s">
        <v>869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0</v>
      </c>
      <c r="H640" s="103">
        <f>SUM(H460)</f>
        <v>0</v>
      </c>
      <c r="I640" s="139" t="s">
        <v>870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1669246.82</v>
      </c>
      <c r="H641" s="103">
        <f>SUM(I460)</f>
        <v>1669246.82</v>
      </c>
      <c r="I641" s="139" t="s">
        <v>871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7063.3</v>
      </c>
      <c r="H643" s="103">
        <f>H407</f>
        <v>7063.3</v>
      </c>
      <c r="I643" s="139" t="s">
        <v>481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75000</v>
      </c>
      <c r="H644" s="103">
        <f>G407</f>
        <v>75000</v>
      </c>
      <c r="I644" s="139" t="s">
        <v>482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97041.1</v>
      </c>
      <c r="H645" s="103">
        <f>L407</f>
        <v>97041.1</v>
      </c>
      <c r="I645" s="139" t="s">
        <v>478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2418637.83</v>
      </c>
      <c r="H646" s="103">
        <f>L207+L225+L243</f>
        <v>2418637.83</v>
      </c>
      <c r="I646" s="139" t="s">
        <v>397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566663.63</v>
      </c>
      <c r="H647" s="103">
        <f>(J256+J337)-(J254+J335)</f>
        <v>566663.63</v>
      </c>
      <c r="I647" s="139" t="s">
        <v>703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1116441.71</v>
      </c>
      <c r="H648" s="103">
        <f>H597</f>
        <v>1116441.7100000002</v>
      </c>
      <c r="I648" s="139" t="s">
        <v>389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566764.63</v>
      </c>
      <c r="H649" s="103">
        <f>I597</f>
        <v>566764.63</v>
      </c>
      <c r="I649" s="139" t="s">
        <v>390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735431.49</v>
      </c>
      <c r="H650" s="103">
        <f>J597</f>
        <v>735431.49</v>
      </c>
      <c r="I650" s="139" t="s">
        <v>391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117853.4</v>
      </c>
      <c r="H651" s="103">
        <f>K262+K344</f>
        <v>117853.4</v>
      </c>
      <c r="I651" s="139" t="s">
        <v>398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34503.75</v>
      </c>
      <c r="H652" s="103">
        <f>K263</f>
        <v>34503.75</v>
      </c>
      <c r="I652" s="139" t="s">
        <v>399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75000</v>
      </c>
      <c r="H654" s="103">
        <f>K265+K346</f>
        <v>75000</v>
      </c>
      <c r="I654" s="139" t="s">
        <v>401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13235965.019999998</v>
      </c>
      <c r="G659" s="19">
        <f>(L228+L308+L358)</f>
        <v>8719771.7000000011</v>
      </c>
      <c r="H659" s="19">
        <f>(L246+L327+L359)</f>
        <v>10466564.17</v>
      </c>
      <c r="I659" s="19">
        <f>SUM(F659:H659)</f>
        <v>32422300.890000001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193895.32101964942</v>
      </c>
      <c r="G660" s="19">
        <f>(L358/IF(SUM(L357:L359)=0,1,SUM(L357:L359))*(SUM(G96:G109)))</f>
        <v>92011.96655357987</v>
      </c>
      <c r="H660" s="19">
        <f>(L359/IF(SUM(L357:L359)=0,1,SUM(L357:L359))*(SUM(G96:G109)))</f>
        <v>196118.99242677077</v>
      </c>
      <c r="I660" s="19">
        <f>SUM(F660:H660)</f>
        <v>482026.28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1116441.71</v>
      </c>
      <c r="G661" s="19">
        <f>(L225+L305)-(J225+J305)</f>
        <v>566764.63</v>
      </c>
      <c r="H661" s="19">
        <f>(L243+L324)-(J243+J324)</f>
        <v>735989.1</v>
      </c>
      <c r="I661" s="19">
        <f>SUM(F661:H661)</f>
        <v>2419195.44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8"/>
      <c r="C662" s="168"/>
      <c r="D662" s="168"/>
      <c r="E662" s="168"/>
      <c r="F662" s="199">
        <f>SUM(F574:F586)+SUM(H601:H603)+SUM(L610)</f>
        <v>454824.04</v>
      </c>
      <c r="G662" s="199">
        <f>SUM(G574:G586)+SUM(I601:I603)+L611</f>
        <v>378498.04</v>
      </c>
      <c r="H662" s="199">
        <f>SUM(H574:H586)+SUM(J601:J603)+L612</f>
        <v>613739.94000000006</v>
      </c>
      <c r="I662" s="19">
        <f>SUM(F662:H662)</f>
        <v>1447062.02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11470803.948980348</v>
      </c>
      <c r="G663" s="19">
        <f>G659-SUM(G660:G662)</f>
        <v>7682497.0634464212</v>
      </c>
      <c r="H663" s="19">
        <f>H659-SUM(H660:H662)</f>
        <v>8920716.1375732291</v>
      </c>
      <c r="I663" s="19">
        <f>I659-SUM(I660:I662)</f>
        <v>28074017.149999999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747.78</v>
      </c>
      <c r="G664" s="248">
        <v>479.02</v>
      </c>
      <c r="H664" s="248">
        <v>584.36</v>
      </c>
      <c r="I664" s="19">
        <f>SUM(F664:H664)</f>
        <v>1811.1599999999999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15339.81</v>
      </c>
      <c r="G666" s="19">
        <f>ROUND(G663/G664,2)</f>
        <v>16037.95</v>
      </c>
      <c r="H666" s="19">
        <f>ROUND(H663/H664,2)</f>
        <v>15265.79</v>
      </c>
      <c r="I666" s="19">
        <f>ROUND(I663/I664,2)</f>
        <v>15500.57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-6.26</v>
      </c>
      <c r="I669" s="19">
        <f>SUM(F669:H669)</f>
        <v>-6.26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15339.81</v>
      </c>
      <c r="G671" s="19">
        <f>ROUND((G663+G668)/(G664+G669),2)</f>
        <v>16037.95</v>
      </c>
      <c r="H671" s="19">
        <f>ROUND((H663+H668)/(H664+H669),2)</f>
        <v>15431.1</v>
      </c>
      <c r="I671" s="19">
        <f>ROUND((I663+I668)/(I664+I669),2)</f>
        <v>15554.33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8" workbookViewId="0">
      <selection activeCell="K263" sqref="K26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Kearsarge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2011-2012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8816585.7200000007</v>
      </c>
      <c r="C9" s="229">
        <f>'DOE25'!G196+'DOE25'!G214+'DOE25'!G232+'DOE25'!G275+'DOE25'!G294+'DOE25'!G313</f>
        <v>3986986.3000000007</v>
      </c>
    </row>
    <row r="10" spans="1:3" x14ac:dyDescent="0.2">
      <c r="A10" t="s">
        <v>779</v>
      </c>
      <c r="B10" s="240">
        <v>8081692.1200000001</v>
      </c>
      <c r="C10" s="240">
        <v>3633384.73</v>
      </c>
    </row>
    <row r="11" spans="1:3" x14ac:dyDescent="0.2">
      <c r="A11" t="s">
        <v>780</v>
      </c>
      <c r="B11" s="240">
        <v>154839.01999999999</v>
      </c>
      <c r="C11" s="240">
        <v>78084.95</v>
      </c>
    </row>
    <row r="12" spans="1:3" x14ac:dyDescent="0.2">
      <c r="A12" t="s">
        <v>781</v>
      </c>
      <c r="B12" s="240">
        <v>580054.57999999996</v>
      </c>
      <c r="C12" s="240">
        <v>275516.62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8816585.7199999988</v>
      </c>
      <c r="C13" s="231">
        <f>SUM(C10:C12)</f>
        <v>3986986.3000000003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3496315.25</v>
      </c>
      <c r="C18" s="229">
        <f>'DOE25'!G197+'DOE25'!G215+'DOE25'!G233+'DOE25'!G276+'DOE25'!G295+'DOE25'!G314</f>
        <v>1106906.3500000001</v>
      </c>
    </row>
    <row r="19" spans="1:3" x14ac:dyDescent="0.2">
      <c r="A19" t="s">
        <v>779</v>
      </c>
      <c r="B19" s="240">
        <v>2406644.0099999998</v>
      </c>
      <c r="C19" s="240">
        <v>942085.13</v>
      </c>
    </row>
    <row r="20" spans="1:3" x14ac:dyDescent="0.2">
      <c r="A20" t="s">
        <v>780</v>
      </c>
      <c r="B20" s="240">
        <v>1071290.8</v>
      </c>
      <c r="C20" s="240">
        <v>163438.76999999999</v>
      </c>
    </row>
    <row r="21" spans="1:3" x14ac:dyDescent="0.2">
      <c r="A21" t="s">
        <v>781</v>
      </c>
      <c r="B21" s="240">
        <v>18380.439999999999</v>
      </c>
      <c r="C21" s="240">
        <v>1382.45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3496315.2499999995</v>
      </c>
      <c r="C22" s="231">
        <f>SUM(C19:C21)</f>
        <v>1106906.3499999999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253073</v>
      </c>
      <c r="C36" s="235">
        <f>'DOE25'!G199+'DOE25'!G217+'DOE25'!G235+'DOE25'!G278+'DOE25'!G297+'DOE25'!G316</f>
        <v>38057.919999999998</v>
      </c>
    </row>
    <row r="37" spans="1:3" x14ac:dyDescent="0.2">
      <c r="A37" t="s">
        <v>779</v>
      </c>
      <c r="B37" s="240">
        <v>153591</v>
      </c>
      <c r="C37" s="240">
        <v>29007.97</v>
      </c>
    </row>
    <row r="38" spans="1:3" x14ac:dyDescent="0.2">
      <c r="A38" t="s">
        <v>780</v>
      </c>
      <c r="B38" s="240">
        <v>37435</v>
      </c>
      <c r="C38" s="240">
        <v>3166.08</v>
      </c>
    </row>
    <row r="39" spans="1:3" x14ac:dyDescent="0.2">
      <c r="A39" t="s">
        <v>781</v>
      </c>
      <c r="B39" s="240">
        <v>62047</v>
      </c>
      <c r="C39" s="240">
        <v>5883.8700000000063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253073</v>
      </c>
      <c r="C40" s="231">
        <f>SUM(C37:C39)</f>
        <v>38057.920000000013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K263" sqref="K263"/>
      <selection pane="bottomLeft" activeCell="K263" sqref="K26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0"/>
    </row>
    <row r="2" spans="1:9" x14ac:dyDescent="0.2">
      <c r="A2" s="33" t="s">
        <v>717</v>
      </c>
      <c r="B2" s="265" t="str">
        <f>'DOE25'!A2</f>
        <v>Kearsarge Regional School District</v>
      </c>
      <c r="C2" s="180"/>
      <c r="D2" s="180" t="s">
        <v>792</v>
      </c>
      <c r="E2" s="180" t="s">
        <v>794</v>
      </c>
      <c r="F2" s="280" t="s">
        <v>821</v>
      </c>
      <c r="G2" s="281"/>
      <c r="H2" s="282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793</v>
      </c>
      <c r="E3" s="180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19561479.169999998</v>
      </c>
      <c r="D5" s="20">
        <f>SUM('DOE25'!L196:L199)+SUM('DOE25'!L214:L217)+SUM('DOE25'!L232:L235)-F5-G5</f>
        <v>19282425.649999999</v>
      </c>
      <c r="E5" s="243"/>
      <c r="F5" s="255">
        <f>SUM('DOE25'!J196:J199)+SUM('DOE25'!J214:J217)+SUM('DOE25'!J232:J235)</f>
        <v>246816.75</v>
      </c>
      <c r="G5" s="53">
        <f>SUM('DOE25'!K196:K199)+SUM('DOE25'!K214:K217)+SUM('DOE25'!K232:K235)</f>
        <v>32236.769999999997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1333569.7799999998</v>
      </c>
      <c r="D6" s="20">
        <f>'DOE25'!L201+'DOE25'!L219+'DOE25'!L237-F6-G6</f>
        <v>1333492.2799999998</v>
      </c>
      <c r="E6" s="243"/>
      <c r="F6" s="255">
        <f>'DOE25'!J201+'DOE25'!J219+'DOE25'!J237</f>
        <v>77.5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602910</v>
      </c>
      <c r="D7" s="20">
        <f>'DOE25'!L202+'DOE25'!L220+'DOE25'!L238-F7-G7</f>
        <v>595546.48</v>
      </c>
      <c r="E7" s="243"/>
      <c r="F7" s="255">
        <f>'DOE25'!J202+'DOE25'!J220+'DOE25'!J238</f>
        <v>7363.5199999999995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1231944.0499999998</v>
      </c>
      <c r="D8" s="243"/>
      <c r="E8" s="20">
        <f>'DOE25'!L203+'DOE25'!L221+'DOE25'!L239-F8-G8-D9-D11</f>
        <v>1154439.1099999996</v>
      </c>
      <c r="F8" s="255">
        <f>'DOE25'!J203+'DOE25'!J221+'DOE25'!J239</f>
        <v>55716.33</v>
      </c>
      <c r="G8" s="53">
        <f>'DOE25'!K203+'DOE25'!K221+'DOE25'!K239</f>
        <v>21788.61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34640.959999999999</v>
      </c>
      <c r="D9" s="244">
        <v>34640.959999999999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38000</v>
      </c>
      <c r="D10" s="243"/>
      <c r="E10" s="244">
        <v>38000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436438.31</v>
      </c>
      <c r="D11" s="244">
        <v>436438.31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1811877.9699999997</v>
      </c>
      <c r="D12" s="20">
        <f>'DOE25'!L204+'DOE25'!L222+'DOE25'!L240-F12-G12</f>
        <v>1799256.0299999998</v>
      </c>
      <c r="E12" s="243"/>
      <c r="F12" s="255">
        <f>'DOE25'!J204+'DOE25'!J222+'DOE25'!J240</f>
        <v>1219.94</v>
      </c>
      <c r="G12" s="53">
        <f>'DOE25'!K204+'DOE25'!K222+'DOE25'!K240</f>
        <v>11402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3083306.51</v>
      </c>
      <c r="D14" s="20">
        <f>'DOE25'!L206+'DOE25'!L224+'DOE25'!L242-F14-G14</f>
        <v>3036644.9</v>
      </c>
      <c r="E14" s="243"/>
      <c r="F14" s="255">
        <f>'DOE25'!J206+'DOE25'!J224+'DOE25'!J242</f>
        <v>46661.61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2418637.83</v>
      </c>
      <c r="D15" s="20">
        <f>'DOE25'!L207+'DOE25'!L225+'DOE25'!L243-F15-G15</f>
        <v>2418637.83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15310.11</v>
      </c>
      <c r="D17" s="20">
        <f>'DOE25'!L250-F17-G17</f>
        <v>15310.11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34503.75</v>
      </c>
      <c r="D22" s="243"/>
      <c r="E22" s="243"/>
      <c r="F22" s="255">
        <f>'DOE25'!L254+'DOE25'!L335</f>
        <v>34503.75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3271644.67</v>
      </c>
      <c r="D25" s="243"/>
      <c r="E25" s="243"/>
      <c r="F25" s="258"/>
      <c r="G25" s="256"/>
      <c r="H25" s="257">
        <f>'DOE25'!L259+'DOE25'!L260+'DOE25'!L340+'DOE25'!L341</f>
        <v>3271644.67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490256.06999999989</v>
      </c>
      <c r="D29" s="20">
        <f>'DOE25'!L357+'DOE25'!L358+'DOE25'!L359-'DOE25'!I366-F29-G29</f>
        <v>485244.66999999987</v>
      </c>
      <c r="E29" s="243"/>
      <c r="F29" s="255">
        <f>'DOE25'!J357+'DOE25'!J358+'DOE25'!J359</f>
        <v>4961</v>
      </c>
      <c r="G29" s="53">
        <f>'DOE25'!K357+'DOE25'!K358+'DOE25'!K359</f>
        <v>50.4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1110316.4299999997</v>
      </c>
      <c r="D31" s="20">
        <f>'DOE25'!L289+'DOE25'!L308+'DOE25'!L327+'DOE25'!L332+'DOE25'!L333+'DOE25'!L334-F31-G31</f>
        <v>844438.79999999993</v>
      </c>
      <c r="E31" s="243"/>
      <c r="F31" s="255">
        <f>'DOE25'!J289+'DOE25'!J308+'DOE25'!J327+'DOE25'!J332+'DOE25'!J333+'DOE25'!J334</f>
        <v>208807.97999999998</v>
      </c>
      <c r="G31" s="53">
        <f>'DOE25'!K289+'DOE25'!K308+'DOE25'!K327+'DOE25'!K332+'DOE25'!K333+'DOE25'!K334</f>
        <v>57069.65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30282076.019999996</v>
      </c>
      <c r="E33" s="246">
        <f>SUM(E5:E31)</f>
        <v>1192439.1099999996</v>
      </c>
      <c r="F33" s="246">
        <f>SUM(F5:F31)</f>
        <v>606128.37999999989</v>
      </c>
      <c r="G33" s="246">
        <f>SUM(G5:G31)</f>
        <v>122547.43</v>
      </c>
      <c r="H33" s="246">
        <f>SUM(H5:H31)</f>
        <v>3271644.67</v>
      </c>
    </row>
    <row r="35" spans="2:8" ht="12" thickBot="1" x14ac:dyDescent="0.25">
      <c r="B35" s="253" t="s">
        <v>847</v>
      </c>
      <c r="D35" s="254">
        <f>E33</f>
        <v>1192439.1099999996</v>
      </c>
      <c r="E35" s="249"/>
    </row>
    <row r="36" spans="2:8" ht="12" thickTop="1" x14ac:dyDescent="0.2">
      <c r="B36" t="s">
        <v>815</v>
      </c>
      <c r="D36" s="20">
        <f>D33</f>
        <v>30282076.019999996</v>
      </c>
    </row>
    <row r="38" spans="2:8" x14ac:dyDescent="0.2">
      <c r="B38" s="186" t="s">
        <v>859</v>
      </c>
      <c r="C38" s="266"/>
      <c r="D38" s="267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5" activePane="bottomLeft" state="frozen"/>
      <selection activeCell="K263" sqref="K263"/>
      <selection pane="bottomLeft" activeCell="K263" sqref="K26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Kearsarge Regional School District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782791.04</v>
      </c>
      <c r="D8" s="94">
        <f>'DOE25'!G9</f>
        <v>0</v>
      </c>
      <c r="E8" s="94">
        <f>'DOE25'!H9</f>
        <v>0</v>
      </c>
      <c r="F8" s="94">
        <f>'DOE25'!I9</f>
        <v>172322.24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1371463.48</v>
      </c>
      <c r="D9" s="94">
        <f>'DOE25'!G10</f>
        <v>793750.31</v>
      </c>
      <c r="E9" s="94">
        <f>'DOE25'!H10</f>
        <v>0</v>
      </c>
      <c r="F9" s="94">
        <f>'DOE25'!I10</f>
        <v>0</v>
      </c>
      <c r="G9" s="94">
        <f>'DOE25'!J10</f>
        <v>1669246.82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1100858.42</v>
      </c>
      <c r="D11" s="94">
        <f>'DOE25'!G12</f>
        <v>35173.42</v>
      </c>
      <c r="E11" s="94">
        <f>'DOE25'!H12</f>
        <v>100572.07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487065.16</v>
      </c>
      <c r="D12" s="94">
        <f>'DOE25'!G13</f>
        <v>39650.69</v>
      </c>
      <c r="E12" s="94">
        <f>'DOE25'!H13</f>
        <v>329617.88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6000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111175.01</v>
      </c>
      <c r="D15" s="94">
        <f>'DOE25'!G16</f>
        <v>14310.35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17376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3876729.11</v>
      </c>
      <c r="D18" s="41">
        <f>SUM(D8:D17)</f>
        <v>882884.77000000014</v>
      </c>
      <c r="E18" s="41">
        <f>SUM(E8:E17)</f>
        <v>430189.95</v>
      </c>
      <c r="F18" s="41">
        <f>SUM(F8:F17)</f>
        <v>172322.24</v>
      </c>
      <c r="G18" s="41">
        <f>SUM(G8:G17)</f>
        <v>1669246.82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97827.8</v>
      </c>
      <c r="D21" s="94">
        <f>'DOE25'!G22</f>
        <v>852396.36</v>
      </c>
      <c r="E21" s="94">
        <f>'DOE25'!H22</f>
        <v>218834.91</v>
      </c>
      <c r="F21" s="94">
        <f>'DOE25'!I22</f>
        <v>67544.84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188868.98</v>
      </c>
      <c r="D23" s="94">
        <f>'DOE25'!G24</f>
        <v>328.28</v>
      </c>
      <c r="E23" s="94">
        <f>'DOE25'!H24</f>
        <v>8018.92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974943.86</v>
      </c>
      <c r="D27" s="94">
        <f>'DOE25'!G28</f>
        <v>0</v>
      </c>
      <c r="E27" s="94">
        <f>'DOE25'!H28</f>
        <v>26931.200000000001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22410.47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37084.449999999997</v>
      </c>
      <c r="D29" s="94">
        <f>'DOE25'!G30</f>
        <v>15849.78</v>
      </c>
      <c r="E29" s="94">
        <f>'DOE25'!H30</f>
        <v>176404.91999999998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1321135.56</v>
      </c>
      <c r="D31" s="41">
        <f>SUM(D21:D30)</f>
        <v>868574.42</v>
      </c>
      <c r="E31" s="41">
        <f>SUM(E21:E30)</f>
        <v>430189.95</v>
      </c>
      <c r="F31" s="41">
        <f>SUM(F21:F30)</f>
        <v>67544.84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876</v>
      </c>
      <c r="B34" s="6">
        <v>751</v>
      </c>
      <c r="C34" s="94">
        <f>'DOE25'!F35</f>
        <v>111175.01</v>
      </c>
      <c r="D34" s="94">
        <f>'DOE25'!G35</f>
        <v>14310.35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877</v>
      </c>
      <c r="B35" s="6">
        <v>752</v>
      </c>
      <c r="C35" s="94">
        <f>'DOE25'!F36</f>
        <v>17376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883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884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888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889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890</v>
      </c>
      <c r="B43" s="6">
        <v>755</v>
      </c>
      <c r="C43" s="94">
        <f>'DOE25'!F44</f>
        <v>50000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891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892</v>
      </c>
      <c r="B46" s="6">
        <v>760</v>
      </c>
      <c r="C46" s="94">
        <f>'DOE25'!F47</f>
        <v>0</v>
      </c>
      <c r="D46" s="94">
        <f>'DOE25'!G47</f>
        <v>0</v>
      </c>
      <c r="E46" s="94">
        <f>'DOE25'!H47</f>
        <v>0</v>
      </c>
      <c r="F46" s="94">
        <f>'DOE25'!I47</f>
        <v>104777.40000000001</v>
      </c>
      <c r="G46" s="94">
        <f>'DOE25'!J47</f>
        <v>1669246.82</v>
      </c>
      <c r="H46" s="123"/>
      <c r="I46" s="123"/>
    </row>
    <row r="47" spans="1:9" x14ac:dyDescent="0.2">
      <c r="A47" s="1" t="s">
        <v>908</v>
      </c>
      <c r="B47" s="6">
        <v>753</v>
      </c>
      <c r="C47" s="94">
        <f>'DOE25'!F48</f>
        <v>711504.17999999993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893</v>
      </c>
      <c r="B48" s="70">
        <v>770</v>
      </c>
      <c r="C48" s="94">
        <f>'DOE25'!F49</f>
        <v>1665538.3599999999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894</v>
      </c>
      <c r="B49" s="48"/>
      <c r="C49" s="41">
        <f>SUM(C34:C48)</f>
        <v>2555593.5499999998</v>
      </c>
      <c r="D49" s="41">
        <f>SUM(D34:D48)</f>
        <v>14310.35</v>
      </c>
      <c r="E49" s="41">
        <f>SUM(E34:E48)</f>
        <v>0</v>
      </c>
      <c r="F49" s="41">
        <f>SUM(F34:F48)</f>
        <v>104777.40000000001</v>
      </c>
      <c r="G49" s="41">
        <f>SUM(G34:G48)</f>
        <v>1669246.82</v>
      </c>
      <c r="H49" s="123"/>
      <c r="I49" s="123"/>
    </row>
    <row r="50" spans="1:9" ht="12" thickTop="1" x14ac:dyDescent="0.2">
      <c r="A50" s="38" t="s">
        <v>895</v>
      </c>
      <c r="B50" s="2"/>
      <c r="C50" s="41">
        <f>C49+C31</f>
        <v>3876729.11</v>
      </c>
      <c r="D50" s="41">
        <f>D49+D31</f>
        <v>882884.77</v>
      </c>
      <c r="E50" s="41">
        <f>E49+E31</f>
        <v>430189.95</v>
      </c>
      <c r="F50" s="41">
        <f>F49+F31</f>
        <v>172322.24</v>
      </c>
      <c r="G50" s="41">
        <f>G49+G31</f>
        <v>1669246.82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22348417.969999999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82924.39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3316.4700000000003</v>
      </c>
      <c r="D58" s="94">
        <f>'DOE25'!G95</f>
        <v>439.55</v>
      </c>
      <c r="E58" s="94">
        <f>'DOE25'!H95</f>
        <v>0</v>
      </c>
      <c r="F58" s="94">
        <f>'DOE25'!I95</f>
        <v>304.01</v>
      </c>
      <c r="G58" s="94">
        <f>'DOE25'!J95</f>
        <v>7063.3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442589.45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91909.61</v>
      </c>
      <c r="D60" s="94">
        <f>SUM('DOE25'!G97:G109)</f>
        <v>39436.83</v>
      </c>
      <c r="E60" s="94">
        <f>SUM('DOE25'!H97:H109)</f>
        <v>106674.27</v>
      </c>
      <c r="F60" s="94">
        <f>SUM('DOE25'!I97:I109)</f>
        <v>0</v>
      </c>
      <c r="G60" s="94">
        <f>SUM('DOE25'!J97:J109)</f>
        <v>14977.8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178150.47</v>
      </c>
      <c r="D61" s="129">
        <f>SUM(D56:D60)</f>
        <v>482465.83</v>
      </c>
      <c r="E61" s="129">
        <f>SUM(E56:E60)</f>
        <v>106674.27</v>
      </c>
      <c r="F61" s="129">
        <f>SUM(F56:F60)</f>
        <v>304.01</v>
      </c>
      <c r="G61" s="129">
        <f>SUM(G56:G60)</f>
        <v>22041.1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22526568.439999998</v>
      </c>
      <c r="D62" s="22">
        <f>D55+D61</f>
        <v>482465.83</v>
      </c>
      <c r="E62" s="22">
        <f>E55+E61</f>
        <v>106674.27</v>
      </c>
      <c r="F62" s="22">
        <f>F55+F61</f>
        <v>304.01</v>
      </c>
      <c r="G62" s="22">
        <f>G55+G61</f>
        <v>22041.1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4">
        <f>'DOE25'!F116</f>
        <v>2829144.73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7110985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4">
        <f>'DOE25'!F118</f>
        <v>2451.27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9942581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1591664.41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436550.5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36288.57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26330.65</v>
      </c>
      <c r="D76" s="94">
        <f>SUM('DOE25'!G130:G134)</f>
        <v>6276.67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2090834.13</v>
      </c>
      <c r="D77" s="129">
        <f>SUM(D71:D76)</f>
        <v>6276.67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12033415.129999999</v>
      </c>
      <c r="D80" s="129">
        <f>SUM(D78:D79)+D77+D69</f>
        <v>6276.67</v>
      </c>
      <c r="E80" s="129">
        <f>SUM(E78:E79)+E77+E69</f>
        <v>0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211606.3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125561.94</v>
      </c>
      <c r="D87" s="94">
        <f>SUM('DOE25'!G152:G160)</f>
        <v>190583.98</v>
      </c>
      <c r="E87" s="94">
        <f>SUM('DOE25'!H152:H160)</f>
        <v>906780.8899999999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337168.24</v>
      </c>
      <c r="D90" s="130">
        <f>SUM(D84:D89)</f>
        <v>190583.98</v>
      </c>
      <c r="E90" s="130">
        <f>SUM(E84:E89)</f>
        <v>906780.8899999999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111509.82000000002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117853.4</v>
      </c>
      <c r="E95" s="94">
        <f>'DOE25'!H178</f>
        <v>34503.75</v>
      </c>
      <c r="F95" s="94">
        <f>'DOE25'!I178</f>
        <v>0</v>
      </c>
      <c r="G95" s="94">
        <f>'DOE25'!J178</f>
        <v>75000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111509.82000000002</v>
      </c>
      <c r="D102" s="85">
        <f>SUM(D92:D101)</f>
        <v>117853.4</v>
      </c>
      <c r="E102" s="85">
        <f>SUM(E92:E101)</f>
        <v>34503.75</v>
      </c>
      <c r="F102" s="85">
        <f>SUM(F92:F101)</f>
        <v>0</v>
      </c>
      <c r="G102" s="85">
        <f>SUM(G92:G101)</f>
        <v>75000</v>
      </c>
    </row>
    <row r="103" spans="1:7" ht="12.75" thickTop="1" thickBot="1" x14ac:dyDescent="0.25">
      <c r="A103" s="33" t="s">
        <v>765</v>
      </c>
      <c r="C103" s="85">
        <f>C62+C80+C90+C102</f>
        <v>35008661.629999995</v>
      </c>
      <c r="D103" s="85">
        <f>D62+D80+D90+D102</f>
        <v>797179.88</v>
      </c>
      <c r="E103" s="85">
        <f>E62+E80+E90+E102</f>
        <v>1047958.9099999999</v>
      </c>
      <c r="F103" s="85">
        <f>F62+F80+F90+F102</f>
        <v>304.01</v>
      </c>
      <c r="G103" s="85">
        <f>G62+G80+G102</f>
        <v>97041.1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13639648.34</v>
      </c>
      <c r="D108" s="24" t="s">
        <v>289</v>
      </c>
      <c r="E108" s="94">
        <f>('DOE25'!L275)+('DOE25'!L294)+('DOE25'!L313)</f>
        <v>518980.63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5472253.1200000001</v>
      </c>
      <c r="D109" s="24" t="s">
        <v>289</v>
      </c>
      <c r="E109" s="94">
        <f>('DOE25'!L276)+('DOE25'!L295)+('DOE25'!L314)</f>
        <v>282777.44000000006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18722.46</v>
      </c>
      <c r="D110" s="24" t="s">
        <v>289</v>
      </c>
      <c r="E110" s="94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430855.25</v>
      </c>
      <c r="D111" s="24" t="s">
        <v>289</v>
      </c>
      <c r="E111" s="94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15310.11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19576789.280000001</v>
      </c>
      <c r="D114" s="85">
        <f>SUM(D108:D113)</f>
        <v>0</v>
      </c>
      <c r="E114" s="85">
        <f>SUM(E108:E113)</f>
        <v>801758.07000000007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1333569.7799999998</v>
      </c>
      <c r="D117" s="24" t="s">
        <v>289</v>
      </c>
      <c r="E117" s="94">
        <f>+('DOE25'!L280)+('DOE25'!L299)+('DOE25'!L318)</f>
        <v>140101.97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602910</v>
      </c>
      <c r="D118" s="24" t="s">
        <v>289</v>
      </c>
      <c r="E118" s="94">
        <f>+('DOE25'!L281)+('DOE25'!L300)+('DOE25'!L319)</f>
        <v>94879.66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1703023.3199999998</v>
      </c>
      <c r="D119" s="24" t="s">
        <v>289</v>
      </c>
      <c r="E119" s="94">
        <f>+('DOE25'!L282)+('DOE25'!L301)+('DOE25'!L320)</f>
        <v>15949.47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1811877.9699999997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0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3083306.51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2418637.83</v>
      </c>
      <c r="D123" s="24" t="s">
        <v>289</v>
      </c>
      <c r="E123" s="94">
        <f>+('DOE25'!L286)+('DOE25'!L305)+('DOE25'!L324)</f>
        <v>557.61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0</v>
      </c>
      <c r="D124" s="24" t="s">
        <v>289</v>
      </c>
      <c r="E124" s="94">
        <f>+('DOE25'!L287)+('DOE25'!L306)+('DOE25'!L325)</f>
        <v>57069.65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797179.87999999989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10953325.409999998</v>
      </c>
      <c r="D127" s="85">
        <f>SUM(D117:D126)</f>
        <v>797179.87999999989</v>
      </c>
      <c r="E127" s="85">
        <f>SUM(E117:E126)</f>
        <v>308558.36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34503.75</v>
      </c>
      <c r="D129" s="24" t="s">
        <v>289</v>
      </c>
      <c r="E129" s="128">
        <f>'DOE25'!L335</f>
        <v>0</v>
      </c>
      <c r="F129" s="128">
        <f>SUM('DOE25'!L373:'DOE25'!L379)</f>
        <v>1141336.05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2623611.7599999998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648032.91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0</v>
      </c>
      <c r="F133" s="94">
        <f>'DOE25'!K380</f>
        <v>0</v>
      </c>
      <c r="G133" s="94">
        <f>'DOE25'!K433</f>
        <v>0</v>
      </c>
    </row>
    <row r="134" spans="1:7" x14ac:dyDescent="0.2">
      <c r="A134" t="s">
        <v>233</v>
      </c>
      <c r="B134" s="32" t="s">
        <v>234</v>
      </c>
      <c r="C134" s="94">
        <f>'DOE25'!L262</f>
        <v>117853.4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34503.75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97041.1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-22041.100000000006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3533505.57</v>
      </c>
      <c r="D143" s="140">
        <f>SUM(D129:D142)</f>
        <v>0</v>
      </c>
      <c r="E143" s="140">
        <f>SUM(E129:E142)</f>
        <v>0</v>
      </c>
      <c r="F143" s="140">
        <f>SUM(F129:F142)</f>
        <v>1141336.05</v>
      </c>
      <c r="G143" s="140">
        <f>SUM(G129:G142)</f>
        <v>0</v>
      </c>
    </row>
    <row r="144" spans="1:7" ht="12.75" thickTop="1" thickBot="1" x14ac:dyDescent="0.25">
      <c r="A144" s="33" t="s">
        <v>244</v>
      </c>
      <c r="C144" s="85">
        <f>(C114+C127+C143)</f>
        <v>34063620.259999998</v>
      </c>
      <c r="D144" s="85">
        <f>(D114+D127+D143)</f>
        <v>797179.87999999989</v>
      </c>
      <c r="E144" s="85">
        <f>(E114+E127+E143)</f>
        <v>1110316.4300000002</v>
      </c>
      <c r="F144" s="85">
        <f>(F114+F127+F143)</f>
        <v>1141336.05</v>
      </c>
      <c r="G144" s="85">
        <f>(G114+G127+G143)</f>
        <v>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2">
        <f>'DOE25'!F489</f>
        <v>15</v>
      </c>
      <c r="C150" s="152">
        <f>'DOE25'!G489</f>
        <v>10</v>
      </c>
      <c r="D150" s="152">
        <f>'DOE25'!H489</f>
        <v>10</v>
      </c>
      <c r="E150" s="152">
        <f>'DOE25'!I489</f>
        <v>20</v>
      </c>
      <c r="F150" s="152">
        <f>'DOE25'!J489</f>
        <v>15</v>
      </c>
      <c r="G150" s="24" t="s">
        <v>289</v>
      </c>
    </row>
    <row r="151" spans="1:9" x14ac:dyDescent="0.2">
      <c r="A151" s="135" t="s">
        <v>28</v>
      </c>
      <c r="B151" s="151" t="str">
        <f>'DOE25'!F490</f>
        <v>7/96</v>
      </c>
      <c r="C151" s="151" t="str">
        <f>'DOE25'!G490</f>
        <v>8/02</v>
      </c>
      <c r="D151" s="151" t="str">
        <f>'DOE25'!H490</f>
        <v>8/04</v>
      </c>
      <c r="E151" s="151" t="str">
        <f>'DOE25'!I490</f>
        <v>08/06</v>
      </c>
      <c r="F151" s="151" t="str">
        <f>'DOE25'!J490</f>
        <v>11/10</v>
      </c>
      <c r="G151" s="24" t="s">
        <v>289</v>
      </c>
    </row>
    <row r="152" spans="1:9" x14ac:dyDescent="0.2">
      <c r="A152" s="135" t="s">
        <v>29</v>
      </c>
      <c r="B152" s="151" t="str">
        <f>'DOE25'!F491</f>
        <v>8/11</v>
      </c>
      <c r="C152" s="151" t="str">
        <f>'DOE25'!G491</f>
        <v>8/12</v>
      </c>
      <c r="D152" s="151" t="str">
        <f>'DOE25'!H491</f>
        <v>8/14</v>
      </c>
      <c r="E152" s="151" t="str">
        <f>'DOE25'!I491</f>
        <v>08/26</v>
      </c>
      <c r="F152" s="151" t="str">
        <f>'DOE25'!J491</f>
        <v>7/25</v>
      </c>
      <c r="G152" s="24" t="s">
        <v>289</v>
      </c>
    </row>
    <row r="153" spans="1:9" x14ac:dyDescent="0.2">
      <c r="A153" s="135" t="s">
        <v>30</v>
      </c>
      <c r="B153" s="136">
        <f>'DOE25'!F492</f>
        <v>6838167</v>
      </c>
      <c r="C153" s="136">
        <f>'DOE25'!G492</f>
        <v>667500</v>
      </c>
      <c r="D153" s="136">
        <f>'DOE25'!H492</f>
        <v>3259044</v>
      </c>
      <c r="E153" s="136">
        <f>'DOE25'!I492</f>
        <v>24450150</v>
      </c>
      <c r="F153" s="136">
        <f>'DOE25'!J492</f>
        <v>2231283</v>
      </c>
      <c r="G153" s="24" t="s">
        <v>289</v>
      </c>
    </row>
    <row r="154" spans="1:9" x14ac:dyDescent="0.2">
      <c r="A154" s="135" t="s">
        <v>31</v>
      </c>
      <c r="B154" s="136">
        <f>'DOE25'!F493</f>
        <v>5.75</v>
      </c>
      <c r="C154" s="136">
        <f>'DOE25'!G493</f>
        <v>3.8</v>
      </c>
      <c r="D154" s="136">
        <f>'DOE25'!H493</f>
        <v>3.69</v>
      </c>
      <c r="E154" s="136">
        <f>'DOE25'!I493</f>
        <v>4.6100000000000003</v>
      </c>
      <c r="F154" s="136">
        <f>'DOE25'!J493</f>
        <v>4.375</v>
      </c>
      <c r="G154" s="24" t="s">
        <v>289</v>
      </c>
    </row>
    <row r="155" spans="1:9" x14ac:dyDescent="0.2">
      <c r="A155" s="22" t="s">
        <v>32</v>
      </c>
      <c r="B155" s="136">
        <f>'DOE25'!F494</f>
        <v>655000</v>
      </c>
      <c r="C155" s="136">
        <f>'DOE25'!G494</f>
        <v>130000</v>
      </c>
      <c r="D155" s="136">
        <f>'DOE25'!H494</f>
        <v>1019610.95</v>
      </c>
      <c r="E155" s="136">
        <f>'DOE25'!I494</f>
        <v>17129176.780000001</v>
      </c>
      <c r="F155" s="136">
        <f>'DOE25'!J494</f>
        <v>2231283</v>
      </c>
      <c r="G155" s="137">
        <f>SUM(B155:F155)</f>
        <v>21165070.73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655000</v>
      </c>
      <c r="C157" s="136">
        <f>'DOE25'!G496</f>
        <v>65000</v>
      </c>
      <c r="D157" s="136">
        <f>'DOE25'!H496</f>
        <v>272822.64</v>
      </c>
      <c r="E157" s="136">
        <f>'DOE25'!I496</f>
        <v>1482036.92</v>
      </c>
      <c r="F157" s="136">
        <f>'DOE25'!J496</f>
        <v>148752.20000000001</v>
      </c>
      <c r="G157" s="137">
        <f t="shared" si="0"/>
        <v>2623611.7600000002</v>
      </c>
    </row>
    <row r="158" spans="1:9" x14ac:dyDescent="0.2">
      <c r="A158" s="22" t="s">
        <v>35</v>
      </c>
      <c r="B158" s="136">
        <f>'DOE25'!F497</f>
        <v>0</v>
      </c>
      <c r="C158" s="136">
        <f>'DOE25'!G497</f>
        <v>65000</v>
      </c>
      <c r="D158" s="136">
        <f>'DOE25'!H497</f>
        <v>746788.30999999994</v>
      </c>
      <c r="E158" s="136">
        <f>'DOE25'!I497</f>
        <v>15647139.860000001</v>
      </c>
      <c r="F158" s="136">
        <f>'DOE25'!J497</f>
        <v>2082530.8</v>
      </c>
      <c r="G158" s="137">
        <f t="shared" si="0"/>
        <v>18541458.970000003</v>
      </c>
    </row>
    <row r="159" spans="1:9" x14ac:dyDescent="0.2">
      <c r="A159" s="22" t="s">
        <v>36</v>
      </c>
      <c r="B159" s="136">
        <f>'DOE25'!F498</f>
        <v>0</v>
      </c>
      <c r="C159" s="136">
        <f>'DOE25'!G498</f>
        <v>1300</v>
      </c>
      <c r="D159" s="136">
        <f>'DOE25'!H498</f>
        <v>421336.69</v>
      </c>
      <c r="E159" s="136">
        <f>'DOE25'!I498</f>
        <v>12726072.67</v>
      </c>
      <c r="F159" s="136">
        <f>'DOE25'!J498</f>
        <v>637971.18999999994</v>
      </c>
      <c r="G159" s="137">
        <f t="shared" si="0"/>
        <v>13786680.549999999</v>
      </c>
    </row>
    <row r="160" spans="1:9" x14ac:dyDescent="0.2">
      <c r="A160" s="22" t="s">
        <v>37</v>
      </c>
      <c r="B160" s="136">
        <f>'DOE25'!F499</f>
        <v>0</v>
      </c>
      <c r="C160" s="136">
        <f>'DOE25'!G499</f>
        <v>66300</v>
      </c>
      <c r="D160" s="136">
        <f>'DOE25'!H499</f>
        <v>1168125</v>
      </c>
      <c r="E160" s="136">
        <f>'DOE25'!I499</f>
        <v>28373212.530000001</v>
      </c>
      <c r="F160" s="136">
        <f>'DOE25'!J499</f>
        <v>2720501.99</v>
      </c>
      <c r="G160" s="137">
        <f t="shared" si="0"/>
        <v>32328139.520000003</v>
      </c>
    </row>
    <row r="161" spans="1:7" x14ac:dyDescent="0.2">
      <c r="A161" s="22" t="s">
        <v>38</v>
      </c>
      <c r="B161" s="136">
        <f>'DOE25'!F500</f>
        <v>0</v>
      </c>
      <c r="C161" s="136">
        <f>'DOE25'!G500</f>
        <v>65000</v>
      </c>
      <c r="D161" s="136">
        <f>'DOE25'!H500</f>
        <v>262001.66</v>
      </c>
      <c r="E161" s="136">
        <f>'DOE25'!I500</f>
        <v>1417309.36</v>
      </c>
      <c r="F161" s="136">
        <f>'DOE25'!J500</f>
        <v>148752.20000000001</v>
      </c>
      <c r="G161" s="137">
        <f t="shared" si="0"/>
        <v>1893063.22</v>
      </c>
    </row>
    <row r="162" spans="1:7" x14ac:dyDescent="0.2">
      <c r="A162" s="22" t="s">
        <v>39</v>
      </c>
      <c r="B162" s="136">
        <f>'DOE25'!F501</f>
        <v>0</v>
      </c>
      <c r="C162" s="136">
        <f>'DOE25'!G501</f>
        <v>1300</v>
      </c>
      <c r="D162" s="136">
        <f>'DOE25'!H501</f>
        <v>128623.34</v>
      </c>
      <c r="E162" s="136">
        <f>'DOE25'!I501</f>
        <v>475688.14</v>
      </c>
      <c r="F162" s="136">
        <f>'DOE25'!J501</f>
        <v>88079.64</v>
      </c>
      <c r="G162" s="137">
        <f t="shared" si="0"/>
        <v>693691.12</v>
      </c>
    </row>
    <row r="163" spans="1:7" x14ac:dyDescent="0.2">
      <c r="A163" s="22" t="s">
        <v>246</v>
      </c>
      <c r="B163" s="136">
        <f>'DOE25'!F502</f>
        <v>0</v>
      </c>
      <c r="C163" s="136">
        <f>'DOE25'!G502</f>
        <v>66300</v>
      </c>
      <c r="D163" s="136">
        <f>'DOE25'!H502</f>
        <v>390625</v>
      </c>
      <c r="E163" s="136">
        <f>'DOE25'!I502</f>
        <v>1892997.5</v>
      </c>
      <c r="F163" s="136">
        <f>'DOE25'!J502</f>
        <v>236831.84000000003</v>
      </c>
      <c r="G163" s="137">
        <f t="shared" si="0"/>
        <v>2586754.34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K263" sqref="K26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6" t="s">
        <v>717</v>
      </c>
      <c r="B2" s="185" t="str">
        <f>'DOE25'!A2</f>
        <v>Kearsarge Regional School District</v>
      </c>
    </row>
    <row r="3" spans="1:4" x14ac:dyDescent="0.2">
      <c r="B3" s="187" t="s">
        <v>862</v>
      </c>
    </row>
    <row r="4" spans="1:4" x14ac:dyDescent="0.2">
      <c r="B4" t="s">
        <v>61</v>
      </c>
      <c r="C4" s="178">
        <f>IF('DOE25'!F664+'DOE25'!F669=0,0,ROUND('DOE25'!F671,0))</f>
        <v>15340</v>
      </c>
    </row>
    <row r="5" spans="1:4" x14ac:dyDescent="0.2">
      <c r="B5" t="s">
        <v>704</v>
      </c>
      <c r="C5" s="178">
        <f>IF('DOE25'!G664+'DOE25'!G669=0,0,ROUND('DOE25'!G671,0))</f>
        <v>16038</v>
      </c>
    </row>
    <row r="6" spans="1:4" x14ac:dyDescent="0.2">
      <c r="B6" t="s">
        <v>62</v>
      </c>
      <c r="C6" s="178">
        <f>IF('DOE25'!H664+'DOE25'!H669=0,0,ROUND('DOE25'!H671,0))</f>
        <v>15431</v>
      </c>
    </row>
    <row r="7" spans="1:4" x14ac:dyDescent="0.2">
      <c r="B7" t="s">
        <v>705</v>
      </c>
      <c r="C7" s="178">
        <f>IF('DOE25'!I664+'DOE25'!I669=0,0,ROUND('DOE25'!I671,0))</f>
        <v>15554</v>
      </c>
    </row>
    <row r="9" spans="1:4" x14ac:dyDescent="0.2">
      <c r="A9" s="186" t="s">
        <v>94</v>
      </c>
      <c r="B9" s="187" t="s">
        <v>861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14158629</v>
      </c>
      <c r="D10" s="181">
        <f>ROUND((C10/$C$28)*100,1)</f>
        <v>43.4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5755031</v>
      </c>
      <c r="D11" s="181">
        <f>ROUND((C11/$C$28)*100,1)</f>
        <v>17.7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18722</v>
      </c>
      <c r="D12" s="181">
        <f>ROUND((C12/$C$28)*100,1)</f>
        <v>0.1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430855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1473672</v>
      </c>
      <c r="D15" s="181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697790</v>
      </c>
      <c r="D16" s="181">
        <f t="shared" si="0"/>
        <v>2.1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1776042</v>
      </c>
      <c r="D17" s="181">
        <f t="shared" si="0"/>
        <v>5.4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1811878</v>
      </c>
      <c r="D18" s="181">
        <f t="shared" si="0"/>
        <v>5.6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3083307</v>
      </c>
      <c r="D20" s="181">
        <f t="shared" si="0"/>
        <v>9.5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2419195</v>
      </c>
      <c r="D21" s="181">
        <f t="shared" si="0"/>
        <v>7.4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15310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648033</v>
      </c>
      <c r="D25" s="181">
        <f t="shared" si="0"/>
        <v>2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315153.71999999997</v>
      </c>
      <c r="D27" s="181">
        <f t="shared" si="0"/>
        <v>1</v>
      </c>
    </row>
    <row r="28" spans="1:4" x14ac:dyDescent="0.2">
      <c r="B28" s="186" t="s">
        <v>723</v>
      </c>
      <c r="C28" s="179">
        <f>SUM(C10:C27)</f>
        <v>32603617.719999999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1175840</v>
      </c>
    </row>
    <row r="30" spans="1:4" x14ac:dyDescent="0.2">
      <c r="B30" s="186" t="s">
        <v>729</v>
      </c>
      <c r="C30" s="179">
        <f>SUM(C28:C29)</f>
        <v>33779457.719999999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2623612</v>
      </c>
    </row>
    <row r="34" spans="1:4" x14ac:dyDescent="0.2">
      <c r="A34" s="186" t="s">
        <v>94</v>
      </c>
      <c r="B34" s="187" t="s">
        <v>860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22348418</v>
      </c>
      <c r="D35" s="181">
        <f t="shared" ref="D35:D40" si="1">ROUND((C35/$C$41)*100,1)</f>
        <v>61.9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307609.36999999732</v>
      </c>
      <c r="D36" s="181">
        <f t="shared" si="1"/>
        <v>0.9</v>
      </c>
    </row>
    <row r="37" spans="1:4" x14ac:dyDescent="0.2">
      <c r="A37" s="182" t="s">
        <v>853</v>
      </c>
      <c r="B37" s="184" t="s">
        <v>732</v>
      </c>
      <c r="C37" s="178">
        <f>ROUND('DOE25'!F116+'DOE25'!F117+'DOE25'!F118,0)</f>
        <v>9942581</v>
      </c>
      <c r="D37" s="181">
        <f t="shared" si="1"/>
        <v>27.5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2097111</v>
      </c>
      <c r="D38" s="181">
        <f t="shared" si="1"/>
        <v>5.8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1434533</v>
      </c>
      <c r="D39" s="181">
        <f t="shared" si="1"/>
        <v>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36130252.369999997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111510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K263" sqref="K263"/>
      <selection pane="bottomLeft" activeCell="K263" sqref="K26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Kearsarge Regional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6" t="s">
        <v>922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8"/>
      <c r="B5" s="219"/>
      <c r="C5" s="21" t="s">
        <v>923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8"/>
      <c r="B6" s="219"/>
      <c r="C6" s="286" t="s">
        <v>920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8"/>
      <c r="B7" s="219"/>
      <c r="C7" s="274" t="s">
        <v>921</v>
      </c>
      <c r="D7" s="274"/>
      <c r="E7" s="274"/>
      <c r="F7" s="274"/>
      <c r="G7" s="274"/>
      <c r="H7" s="274"/>
      <c r="I7" s="274"/>
      <c r="J7" s="274"/>
      <c r="K7" s="274"/>
      <c r="L7" s="274"/>
      <c r="M7" s="27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207"/>
      <c r="AB29" s="207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07"/>
      <c r="AO29" s="207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07"/>
      <c r="BB29" s="207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07"/>
      <c r="BO29" s="207"/>
      <c r="BP29" s="299"/>
      <c r="BQ29" s="299"/>
      <c r="BR29" s="299"/>
      <c r="BS29" s="299"/>
      <c r="BT29" s="299"/>
      <c r="BU29" s="299"/>
      <c r="BV29" s="299"/>
      <c r="BW29" s="299"/>
      <c r="BX29" s="299"/>
      <c r="BY29" s="299"/>
      <c r="BZ29" s="299"/>
      <c r="CA29" s="207"/>
      <c r="CB29" s="207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07"/>
      <c r="CO29" s="207"/>
      <c r="CP29" s="299"/>
      <c r="CQ29" s="299"/>
      <c r="CR29" s="299"/>
      <c r="CS29" s="299"/>
      <c r="CT29" s="299"/>
      <c r="CU29" s="299"/>
      <c r="CV29" s="299"/>
      <c r="CW29" s="299"/>
      <c r="CX29" s="299"/>
      <c r="CY29" s="299"/>
      <c r="CZ29" s="299"/>
      <c r="DA29" s="207"/>
      <c r="DB29" s="207"/>
      <c r="DC29" s="299"/>
      <c r="DD29" s="299"/>
      <c r="DE29" s="299"/>
      <c r="DF29" s="299"/>
      <c r="DG29" s="299"/>
      <c r="DH29" s="299"/>
      <c r="DI29" s="299"/>
      <c r="DJ29" s="299"/>
      <c r="DK29" s="299"/>
      <c r="DL29" s="299"/>
      <c r="DM29" s="299"/>
      <c r="DN29" s="207"/>
      <c r="DO29" s="207"/>
      <c r="DP29" s="299"/>
      <c r="DQ29" s="299"/>
      <c r="DR29" s="299"/>
      <c r="DS29" s="299"/>
      <c r="DT29" s="299"/>
      <c r="DU29" s="299"/>
      <c r="DV29" s="299"/>
      <c r="DW29" s="299"/>
      <c r="DX29" s="299"/>
      <c r="DY29" s="299"/>
      <c r="DZ29" s="299"/>
      <c r="EA29" s="207"/>
      <c r="EB29" s="207"/>
      <c r="EC29" s="299"/>
      <c r="ED29" s="299"/>
      <c r="EE29" s="299"/>
      <c r="EF29" s="299"/>
      <c r="EG29" s="299"/>
      <c r="EH29" s="299"/>
      <c r="EI29" s="299"/>
      <c r="EJ29" s="299"/>
      <c r="EK29" s="299"/>
      <c r="EL29" s="299"/>
      <c r="EM29" s="299"/>
      <c r="EN29" s="207"/>
      <c r="EO29" s="207"/>
      <c r="EP29" s="299"/>
      <c r="EQ29" s="299"/>
      <c r="ER29" s="299"/>
      <c r="ES29" s="299"/>
      <c r="ET29" s="299"/>
      <c r="EU29" s="299"/>
      <c r="EV29" s="299"/>
      <c r="EW29" s="299"/>
      <c r="EX29" s="299"/>
      <c r="EY29" s="299"/>
      <c r="EZ29" s="299"/>
      <c r="FA29" s="207"/>
      <c r="FB29" s="207"/>
      <c r="FC29" s="299"/>
      <c r="FD29" s="299"/>
      <c r="FE29" s="299"/>
      <c r="FF29" s="299"/>
      <c r="FG29" s="299"/>
      <c r="FH29" s="299"/>
      <c r="FI29" s="299"/>
      <c r="FJ29" s="299"/>
      <c r="FK29" s="299"/>
      <c r="FL29" s="299"/>
      <c r="FM29" s="299"/>
      <c r="FN29" s="207"/>
      <c r="FO29" s="207"/>
      <c r="FP29" s="299"/>
      <c r="FQ29" s="299"/>
      <c r="FR29" s="299"/>
      <c r="FS29" s="299"/>
      <c r="FT29" s="299"/>
      <c r="FU29" s="299"/>
      <c r="FV29" s="299"/>
      <c r="FW29" s="299"/>
      <c r="FX29" s="299"/>
      <c r="FY29" s="299"/>
      <c r="FZ29" s="299"/>
      <c r="GA29" s="207"/>
      <c r="GB29" s="207"/>
      <c r="GC29" s="299"/>
      <c r="GD29" s="299"/>
      <c r="GE29" s="299"/>
      <c r="GF29" s="299"/>
      <c r="GG29" s="299"/>
      <c r="GH29" s="299"/>
      <c r="GI29" s="299"/>
      <c r="GJ29" s="299"/>
      <c r="GK29" s="299"/>
      <c r="GL29" s="299"/>
      <c r="GM29" s="299"/>
      <c r="GN29" s="207"/>
      <c r="GO29" s="207"/>
      <c r="GP29" s="299"/>
      <c r="GQ29" s="299"/>
      <c r="GR29" s="299"/>
      <c r="GS29" s="299"/>
      <c r="GT29" s="299"/>
      <c r="GU29" s="299"/>
      <c r="GV29" s="299"/>
      <c r="GW29" s="299"/>
      <c r="GX29" s="299"/>
      <c r="GY29" s="299"/>
      <c r="GZ29" s="299"/>
      <c r="HA29" s="207"/>
      <c r="HB29" s="207"/>
      <c r="HC29" s="299"/>
      <c r="HD29" s="299"/>
      <c r="HE29" s="299"/>
      <c r="HF29" s="299"/>
      <c r="HG29" s="299"/>
      <c r="HH29" s="299"/>
      <c r="HI29" s="299"/>
      <c r="HJ29" s="299"/>
      <c r="HK29" s="299"/>
      <c r="HL29" s="299"/>
      <c r="HM29" s="299"/>
      <c r="HN29" s="207"/>
      <c r="HO29" s="207"/>
      <c r="HP29" s="299"/>
      <c r="HQ29" s="299"/>
      <c r="HR29" s="299"/>
      <c r="HS29" s="299"/>
      <c r="HT29" s="299"/>
      <c r="HU29" s="299"/>
      <c r="HV29" s="299"/>
      <c r="HW29" s="299"/>
      <c r="HX29" s="299"/>
      <c r="HY29" s="299"/>
      <c r="HZ29" s="299"/>
      <c r="IA29" s="207"/>
      <c r="IB29" s="207"/>
      <c r="IC29" s="299"/>
      <c r="ID29" s="299"/>
      <c r="IE29" s="299"/>
      <c r="IF29" s="299"/>
      <c r="IG29" s="299"/>
      <c r="IH29" s="299"/>
      <c r="II29" s="299"/>
      <c r="IJ29" s="299"/>
      <c r="IK29" s="299"/>
      <c r="IL29" s="299"/>
      <c r="IM29" s="299"/>
      <c r="IN29" s="207"/>
      <c r="IO29" s="207"/>
      <c r="IP29" s="299"/>
      <c r="IQ29" s="299"/>
      <c r="IR29" s="299"/>
      <c r="IS29" s="299"/>
      <c r="IT29" s="299"/>
      <c r="IU29" s="299"/>
      <c r="IV29" s="299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207"/>
      <c r="AB30" s="207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07"/>
      <c r="AO30" s="207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  <c r="AZ30" s="299"/>
      <c r="BA30" s="207"/>
      <c r="BB30" s="207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07"/>
      <c r="BO30" s="207"/>
      <c r="BP30" s="299"/>
      <c r="BQ30" s="299"/>
      <c r="BR30" s="299"/>
      <c r="BS30" s="299"/>
      <c r="BT30" s="299"/>
      <c r="BU30" s="299"/>
      <c r="BV30" s="299"/>
      <c r="BW30" s="299"/>
      <c r="BX30" s="299"/>
      <c r="BY30" s="299"/>
      <c r="BZ30" s="299"/>
      <c r="CA30" s="207"/>
      <c r="CB30" s="207"/>
      <c r="CC30" s="299"/>
      <c r="CD30" s="299"/>
      <c r="CE30" s="299"/>
      <c r="CF30" s="299"/>
      <c r="CG30" s="299"/>
      <c r="CH30" s="299"/>
      <c r="CI30" s="299"/>
      <c r="CJ30" s="299"/>
      <c r="CK30" s="299"/>
      <c r="CL30" s="299"/>
      <c r="CM30" s="299"/>
      <c r="CN30" s="207"/>
      <c r="CO30" s="207"/>
      <c r="CP30" s="299"/>
      <c r="CQ30" s="299"/>
      <c r="CR30" s="299"/>
      <c r="CS30" s="299"/>
      <c r="CT30" s="299"/>
      <c r="CU30" s="299"/>
      <c r="CV30" s="299"/>
      <c r="CW30" s="299"/>
      <c r="CX30" s="299"/>
      <c r="CY30" s="299"/>
      <c r="CZ30" s="299"/>
      <c r="DA30" s="207"/>
      <c r="DB30" s="207"/>
      <c r="DC30" s="299"/>
      <c r="DD30" s="299"/>
      <c r="DE30" s="299"/>
      <c r="DF30" s="299"/>
      <c r="DG30" s="299"/>
      <c r="DH30" s="299"/>
      <c r="DI30" s="299"/>
      <c r="DJ30" s="299"/>
      <c r="DK30" s="299"/>
      <c r="DL30" s="299"/>
      <c r="DM30" s="299"/>
      <c r="DN30" s="207"/>
      <c r="DO30" s="207"/>
      <c r="DP30" s="299"/>
      <c r="DQ30" s="299"/>
      <c r="DR30" s="299"/>
      <c r="DS30" s="299"/>
      <c r="DT30" s="299"/>
      <c r="DU30" s="299"/>
      <c r="DV30" s="299"/>
      <c r="DW30" s="299"/>
      <c r="DX30" s="299"/>
      <c r="DY30" s="299"/>
      <c r="DZ30" s="299"/>
      <c r="EA30" s="207"/>
      <c r="EB30" s="207"/>
      <c r="EC30" s="299"/>
      <c r="ED30" s="299"/>
      <c r="EE30" s="299"/>
      <c r="EF30" s="299"/>
      <c r="EG30" s="299"/>
      <c r="EH30" s="299"/>
      <c r="EI30" s="299"/>
      <c r="EJ30" s="299"/>
      <c r="EK30" s="299"/>
      <c r="EL30" s="299"/>
      <c r="EM30" s="299"/>
      <c r="EN30" s="207"/>
      <c r="EO30" s="207"/>
      <c r="EP30" s="299"/>
      <c r="EQ30" s="299"/>
      <c r="ER30" s="299"/>
      <c r="ES30" s="299"/>
      <c r="ET30" s="299"/>
      <c r="EU30" s="299"/>
      <c r="EV30" s="299"/>
      <c r="EW30" s="299"/>
      <c r="EX30" s="299"/>
      <c r="EY30" s="299"/>
      <c r="EZ30" s="299"/>
      <c r="FA30" s="207"/>
      <c r="FB30" s="207"/>
      <c r="FC30" s="299"/>
      <c r="FD30" s="299"/>
      <c r="FE30" s="299"/>
      <c r="FF30" s="299"/>
      <c r="FG30" s="299"/>
      <c r="FH30" s="299"/>
      <c r="FI30" s="299"/>
      <c r="FJ30" s="299"/>
      <c r="FK30" s="299"/>
      <c r="FL30" s="299"/>
      <c r="FM30" s="299"/>
      <c r="FN30" s="207"/>
      <c r="FO30" s="207"/>
      <c r="FP30" s="299"/>
      <c r="FQ30" s="299"/>
      <c r="FR30" s="299"/>
      <c r="FS30" s="299"/>
      <c r="FT30" s="299"/>
      <c r="FU30" s="299"/>
      <c r="FV30" s="299"/>
      <c r="FW30" s="299"/>
      <c r="FX30" s="299"/>
      <c r="FY30" s="299"/>
      <c r="FZ30" s="299"/>
      <c r="GA30" s="207"/>
      <c r="GB30" s="207"/>
      <c r="GC30" s="299"/>
      <c r="GD30" s="299"/>
      <c r="GE30" s="299"/>
      <c r="GF30" s="299"/>
      <c r="GG30" s="299"/>
      <c r="GH30" s="299"/>
      <c r="GI30" s="299"/>
      <c r="GJ30" s="299"/>
      <c r="GK30" s="299"/>
      <c r="GL30" s="299"/>
      <c r="GM30" s="299"/>
      <c r="GN30" s="207"/>
      <c r="GO30" s="207"/>
      <c r="GP30" s="299"/>
      <c r="GQ30" s="299"/>
      <c r="GR30" s="299"/>
      <c r="GS30" s="299"/>
      <c r="GT30" s="299"/>
      <c r="GU30" s="299"/>
      <c r="GV30" s="299"/>
      <c r="GW30" s="299"/>
      <c r="GX30" s="299"/>
      <c r="GY30" s="299"/>
      <c r="GZ30" s="299"/>
      <c r="HA30" s="207"/>
      <c r="HB30" s="207"/>
      <c r="HC30" s="299"/>
      <c r="HD30" s="299"/>
      <c r="HE30" s="299"/>
      <c r="HF30" s="299"/>
      <c r="HG30" s="299"/>
      <c r="HH30" s="299"/>
      <c r="HI30" s="299"/>
      <c r="HJ30" s="299"/>
      <c r="HK30" s="299"/>
      <c r="HL30" s="299"/>
      <c r="HM30" s="299"/>
      <c r="HN30" s="207"/>
      <c r="HO30" s="207"/>
      <c r="HP30" s="299"/>
      <c r="HQ30" s="299"/>
      <c r="HR30" s="299"/>
      <c r="HS30" s="299"/>
      <c r="HT30" s="299"/>
      <c r="HU30" s="299"/>
      <c r="HV30" s="299"/>
      <c r="HW30" s="299"/>
      <c r="HX30" s="299"/>
      <c r="HY30" s="299"/>
      <c r="HZ30" s="299"/>
      <c r="IA30" s="207"/>
      <c r="IB30" s="207"/>
      <c r="IC30" s="299"/>
      <c r="ID30" s="299"/>
      <c r="IE30" s="299"/>
      <c r="IF30" s="299"/>
      <c r="IG30" s="299"/>
      <c r="IH30" s="299"/>
      <c r="II30" s="299"/>
      <c r="IJ30" s="299"/>
      <c r="IK30" s="299"/>
      <c r="IL30" s="299"/>
      <c r="IM30" s="299"/>
      <c r="IN30" s="207"/>
      <c r="IO30" s="207"/>
      <c r="IP30" s="299"/>
      <c r="IQ30" s="299"/>
      <c r="IR30" s="299"/>
      <c r="IS30" s="299"/>
      <c r="IT30" s="299"/>
      <c r="IU30" s="299"/>
      <c r="IV30" s="299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207"/>
      <c r="AB31" s="207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07"/>
      <c r="AO31" s="207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07"/>
      <c r="BB31" s="207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99"/>
      <c r="BN31" s="207"/>
      <c r="BO31" s="207"/>
      <c r="BP31" s="299"/>
      <c r="BQ31" s="299"/>
      <c r="BR31" s="299"/>
      <c r="BS31" s="299"/>
      <c r="BT31" s="299"/>
      <c r="BU31" s="299"/>
      <c r="BV31" s="299"/>
      <c r="BW31" s="299"/>
      <c r="BX31" s="299"/>
      <c r="BY31" s="299"/>
      <c r="BZ31" s="299"/>
      <c r="CA31" s="207"/>
      <c r="CB31" s="207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07"/>
      <c r="CO31" s="207"/>
      <c r="CP31" s="299"/>
      <c r="CQ31" s="299"/>
      <c r="CR31" s="299"/>
      <c r="CS31" s="299"/>
      <c r="CT31" s="299"/>
      <c r="CU31" s="299"/>
      <c r="CV31" s="299"/>
      <c r="CW31" s="299"/>
      <c r="CX31" s="299"/>
      <c r="CY31" s="299"/>
      <c r="CZ31" s="299"/>
      <c r="DA31" s="207"/>
      <c r="DB31" s="207"/>
      <c r="DC31" s="299"/>
      <c r="DD31" s="299"/>
      <c r="DE31" s="299"/>
      <c r="DF31" s="299"/>
      <c r="DG31" s="299"/>
      <c r="DH31" s="299"/>
      <c r="DI31" s="299"/>
      <c r="DJ31" s="299"/>
      <c r="DK31" s="299"/>
      <c r="DL31" s="299"/>
      <c r="DM31" s="299"/>
      <c r="DN31" s="207"/>
      <c r="DO31" s="207"/>
      <c r="DP31" s="299"/>
      <c r="DQ31" s="299"/>
      <c r="DR31" s="299"/>
      <c r="DS31" s="299"/>
      <c r="DT31" s="299"/>
      <c r="DU31" s="299"/>
      <c r="DV31" s="299"/>
      <c r="DW31" s="299"/>
      <c r="DX31" s="299"/>
      <c r="DY31" s="299"/>
      <c r="DZ31" s="299"/>
      <c r="EA31" s="207"/>
      <c r="EB31" s="207"/>
      <c r="EC31" s="299"/>
      <c r="ED31" s="299"/>
      <c r="EE31" s="299"/>
      <c r="EF31" s="299"/>
      <c r="EG31" s="299"/>
      <c r="EH31" s="299"/>
      <c r="EI31" s="299"/>
      <c r="EJ31" s="299"/>
      <c r="EK31" s="299"/>
      <c r="EL31" s="299"/>
      <c r="EM31" s="299"/>
      <c r="EN31" s="207"/>
      <c r="EO31" s="207"/>
      <c r="EP31" s="299"/>
      <c r="EQ31" s="299"/>
      <c r="ER31" s="299"/>
      <c r="ES31" s="299"/>
      <c r="ET31" s="299"/>
      <c r="EU31" s="299"/>
      <c r="EV31" s="299"/>
      <c r="EW31" s="299"/>
      <c r="EX31" s="299"/>
      <c r="EY31" s="299"/>
      <c r="EZ31" s="299"/>
      <c r="FA31" s="207"/>
      <c r="FB31" s="207"/>
      <c r="FC31" s="299"/>
      <c r="FD31" s="299"/>
      <c r="FE31" s="299"/>
      <c r="FF31" s="299"/>
      <c r="FG31" s="299"/>
      <c r="FH31" s="299"/>
      <c r="FI31" s="299"/>
      <c r="FJ31" s="299"/>
      <c r="FK31" s="299"/>
      <c r="FL31" s="299"/>
      <c r="FM31" s="299"/>
      <c r="FN31" s="207"/>
      <c r="FO31" s="207"/>
      <c r="FP31" s="299"/>
      <c r="FQ31" s="299"/>
      <c r="FR31" s="299"/>
      <c r="FS31" s="299"/>
      <c r="FT31" s="299"/>
      <c r="FU31" s="299"/>
      <c r="FV31" s="299"/>
      <c r="FW31" s="299"/>
      <c r="FX31" s="299"/>
      <c r="FY31" s="299"/>
      <c r="FZ31" s="299"/>
      <c r="GA31" s="207"/>
      <c r="GB31" s="207"/>
      <c r="GC31" s="299"/>
      <c r="GD31" s="299"/>
      <c r="GE31" s="299"/>
      <c r="GF31" s="299"/>
      <c r="GG31" s="299"/>
      <c r="GH31" s="299"/>
      <c r="GI31" s="299"/>
      <c r="GJ31" s="299"/>
      <c r="GK31" s="299"/>
      <c r="GL31" s="299"/>
      <c r="GM31" s="299"/>
      <c r="GN31" s="207"/>
      <c r="GO31" s="207"/>
      <c r="GP31" s="299"/>
      <c r="GQ31" s="299"/>
      <c r="GR31" s="299"/>
      <c r="GS31" s="299"/>
      <c r="GT31" s="299"/>
      <c r="GU31" s="299"/>
      <c r="GV31" s="299"/>
      <c r="GW31" s="299"/>
      <c r="GX31" s="299"/>
      <c r="GY31" s="299"/>
      <c r="GZ31" s="299"/>
      <c r="HA31" s="207"/>
      <c r="HB31" s="207"/>
      <c r="HC31" s="299"/>
      <c r="HD31" s="299"/>
      <c r="HE31" s="299"/>
      <c r="HF31" s="299"/>
      <c r="HG31" s="299"/>
      <c r="HH31" s="299"/>
      <c r="HI31" s="299"/>
      <c r="HJ31" s="299"/>
      <c r="HK31" s="299"/>
      <c r="HL31" s="299"/>
      <c r="HM31" s="299"/>
      <c r="HN31" s="207"/>
      <c r="HO31" s="207"/>
      <c r="HP31" s="299"/>
      <c r="HQ31" s="299"/>
      <c r="HR31" s="299"/>
      <c r="HS31" s="299"/>
      <c r="HT31" s="299"/>
      <c r="HU31" s="299"/>
      <c r="HV31" s="299"/>
      <c r="HW31" s="299"/>
      <c r="HX31" s="299"/>
      <c r="HY31" s="299"/>
      <c r="HZ31" s="299"/>
      <c r="IA31" s="207"/>
      <c r="IB31" s="207"/>
      <c r="IC31" s="299"/>
      <c r="ID31" s="299"/>
      <c r="IE31" s="299"/>
      <c r="IF31" s="299"/>
      <c r="IG31" s="299"/>
      <c r="IH31" s="299"/>
      <c r="II31" s="299"/>
      <c r="IJ31" s="299"/>
      <c r="IK31" s="299"/>
      <c r="IL31" s="299"/>
      <c r="IM31" s="299"/>
      <c r="IN31" s="207"/>
      <c r="IO31" s="207"/>
      <c r="IP31" s="299"/>
      <c r="IQ31" s="299"/>
      <c r="IR31" s="299"/>
      <c r="IS31" s="299"/>
      <c r="IT31" s="299"/>
      <c r="IU31" s="299"/>
      <c r="IV31" s="299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2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07"/>
      <c r="AB38" s="207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07"/>
      <c r="AO38" s="207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07"/>
      <c r="BB38" s="207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07"/>
      <c r="BO38" s="207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07"/>
      <c r="CB38" s="207"/>
      <c r="CC38" s="299"/>
      <c r="CD38" s="299"/>
      <c r="CE38" s="299"/>
      <c r="CF38" s="299"/>
      <c r="CG38" s="299"/>
      <c r="CH38" s="299"/>
      <c r="CI38" s="299"/>
      <c r="CJ38" s="299"/>
      <c r="CK38" s="299"/>
      <c r="CL38" s="299"/>
      <c r="CM38" s="299"/>
      <c r="CN38" s="207"/>
      <c r="CO38" s="207"/>
      <c r="CP38" s="299"/>
      <c r="CQ38" s="299"/>
      <c r="CR38" s="299"/>
      <c r="CS38" s="299"/>
      <c r="CT38" s="299"/>
      <c r="CU38" s="299"/>
      <c r="CV38" s="299"/>
      <c r="CW38" s="299"/>
      <c r="CX38" s="299"/>
      <c r="CY38" s="299"/>
      <c r="CZ38" s="299"/>
      <c r="DA38" s="207"/>
      <c r="DB38" s="207"/>
      <c r="DC38" s="299"/>
      <c r="DD38" s="299"/>
      <c r="DE38" s="299"/>
      <c r="DF38" s="299"/>
      <c r="DG38" s="299"/>
      <c r="DH38" s="299"/>
      <c r="DI38" s="299"/>
      <c r="DJ38" s="299"/>
      <c r="DK38" s="299"/>
      <c r="DL38" s="299"/>
      <c r="DM38" s="299"/>
      <c r="DN38" s="207"/>
      <c r="DO38" s="207"/>
      <c r="DP38" s="299"/>
      <c r="DQ38" s="299"/>
      <c r="DR38" s="299"/>
      <c r="DS38" s="299"/>
      <c r="DT38" s="299"/>
      <c r="DU38" s="299"/>
      <c r="DV38" s="299"/>
      <c r="DW38" s="299"/>
      <c r="DX38" s="299"/>
      <c r="DY38" s="299"/>
      <c r="DZ38" s="299"/>
      <c r="EA38" s="207"/>
      <c r="EB38" s="207"/>
      <c r="EC38" s="299"/>
      <c r="ED38" s="299"/>
      <c r="EE38" s="299"/>
      <c r="EF38" s="299"/>
      <c r="EG38" s="299"/>
      <c r="EH38" s="299"/>
      <c r="EI38" s="299"/>
      <c r="EJ38" s="299"/>
      <c r="EK38" s="299"/>
      <c r="EL38" s="299"/>
      <c r="EM38" s="299"/>
      <c r="EN38" s="207"/>
      <c r="EO38" s="207"/>
      <c r="EP38" s="299"/>
      <c r="EQ38" s="299"/>
      <c r="ER38" s="299"/>
      <c r="ES38" s="299"/>
      <c r="ET38" s="299"/>
      <c r="EU38" s="299"/>
      <c r="EV38" s="299"/>
      <c r="EW38" s="299"/>
      <c r="EX38" s="299"/>
      <c r="EY38" s="299"/>
      <c r="EZ38" s="299"/>
      <c r="FA38" s="207"/>
      <c r="FB38" s="207"/>
      <c r="FC38" s="299"/>
      <c r="FD38" s="299"/>
      <c r="FE38" s="299"/>
      <c r="FF38" s="299"/>
      <c r="FG38" s="299"/>
      <c r="FH38" s="299"/>
      <c r="FI38" s="299"/>
      <c r="FJ38" s="299"/>
      <c r="FK38" s="299"/>
      <c r="FL38" s="299"/>
      <c r="FM38" s="299"/>
      <c r="FN38" s="207"/>
      <c r="FO38" s="207"/>
      <c r="FP38" s="299"/>
      <c r="FQ38" s="299"/>
      <c r="FR38" s="299"/>
      <c r="FS38" s="299"/>
      <c r="FT38" s="299"/>
      <c r="FU38" s="299"/>
      <c r="FV38" s="299"/>
      <c r="FW38" s="299"/>
      <c r="FX38" s="299"/>
      <c r="FY38" s="299"/>
      <c r="FZ38" s="299"/>
      <c r="GA38" s="207"/>
      <c r="GB38" s="207"/>
      <c r="GC38" s="299"/>
      <c r="GD38" s="299"/>
      <c r="GE38" s="299"/>
      <c r="GF38" s="299"/>
      <c r="GG38" s="299"/>
      <c r="GH38" s="299"/>
      <c r="GI38" s="299"/>
      <c r="GJ38" s="299"/>
      <c r="GK38" s="299"/>
      <c r="GL38" s="299"/>
      <c r="GM38" s="299"/>
      <c r="GN38" s="207"/>
      <c r="GO38" s="207"/>
      <c r="GP38" s="299"/>
      <c r="GQ38" s="299"/>
      <c r="GR38" s="299"/>
      <c r="GS38" s="299"/>
      <c r="GT38" s="299"/>
      <c r="GU38" s="299"/>
      <c r="GV38" s="299"/>
      <c r="GW38" s="299"/>
      <c r="GX38" s="299"/>
      <c r="GY38" s="299"/>
      <c r="GZ38" s="299"/>
      <c r="HA38" s="207"/>
      <c r="HB38" s="207"/>
      <c r="HC38" s="299"/>
      <c r="HD38" s="299"/>
      <c r="HE38" s="299"/>
      <c r="HF38" s="299"/>
      <c r="HG38" s="299"/>
      <c r="HH38" s="299"/>
      <c r="HI38" s="299"/>
      <c r="HJ38" s="299"/>
      <c r="HK38" s="299"/>
      <c r="HL38" s="299"/>
      <c r="HM38" s="299"/>
      <c r="HN38" s="207"/>
      <c r="HO38" s="207"/>
      <c r="HP38" s="299"/>
      <c r="HQ38" s="299"/>
      <c r="HR38" s="299"/>
      <c r="HS38" s="299"/>
      <c r="HT38" s="299"/>
      <c r="HU38" s="299"/>
      <c r="HV38" s="299"/>
      <c r="HW38" s="299"/>
      <c r="HX38" s="299"/>
      <c r="HY38" s="299"/>
      <c r="HZ38" s="299"/>
      <c r="IA38" s="207"/>
      <c r="IB38" s="207"/>
      <c r="IC38" s="299"/>
      <c r="ID38" s="299"/>
      <c r="IE38" s="299"/>
      <c r="IF38" s="299"/>
      <c r="IG38" s="299"/>
      <c r="IH38" s="299"/>
      <c r="II38" s="299"/>
      <c r="IJ38" s="299"/>
      <c r="IK38" s="299"/>
      <c r="IL38" s="299"/>
      <c r="IM38" s="299"/>
      <c r="IN38" s="207"/>
      <c r="IO38" s="207"/>
      <c r="IP38" s="299"/>
      <c r="IQ38" s="299"/>
      <c r="IR38" s="299"/>
      <c r="IS38" s="299"/>
      <c r="IT38" s="299"/>
      <c r="IU38" s="299"/>
      <c r="IV38" s="299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07"/>
      <c r="AB39" s="207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07"/>
      <c r="AO39" s="207"/>
      <c r="AP39" s="299"/>
      <c r="AQ39" s="299"/>
      <c r="AR39" s="299"/>
      <c r="AS39" s="299"/>
      <c r="AT39" s="299"/>
      <c r="AU39" s="299"/>
      <c r="AV39" s="299"/>
      <c r="AW39" s="299"/>
      <c r="AX39" s="299"/>
      <c r="AY39" s="299"/>
      <c r="AZ39" s="299"/>
      <c r="BA39" s="207"/>
      <c r="BB39" s="207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07"/>
      <c r="BO39" s="207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07"/>
      <c r="CB39" s="207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07"/>
      <c r="CO39" s="207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07"/>
      <c r="DB39" s="207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07"/>
      <c r="DO39" s="207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07"/>
      <c r="EB39" s="207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07"/>
      <c r="EO39" s="207"/>
      <c r="EP39" s="299"/>
      <c r="EQ39" s="299"/>
      <c r="ER39" s="299"/>
      <c r="ES39" s="299"/>
      <c r="ET39" s="299"/>
      <c r="EU39" s="299"/>
      <c r="EV39" s="299"/>
      <c r="EW39" s="299"/>
      <c r="EX39" s="299"/>
      <c r="EY39" s="299"/>
      <c r="EZ39" s="299"/>
      <c r="FA39" s="207"/>
      <c r="FB39" s="207"/>
      <c r="FC39" s="299"/>
      <c r="FD39" s="299"/>
      <c r="FE39" s="299"/>
      <c r="FF39" s="299"/>
      <c r="FG39" s="299"/>
      <c r="FH39" s="299"/>
      <c r="FI39" s="299"/>
      <c r="FJ39" s="299"/>
      <c r="FK39" s="299"/>
      <c r="FL39" s="299"/>
      <c r="FM39" s="299"/>
      <c r="FN39" s="207"/>
      <c r="FO39" s="207"/>
      <c r="FP39" s="299"/>
      <c r="FQ39" s="299"/>
      <c r="FR39" s="299"/>
      <c r="FS39" s="299"/>
      <c r="FT39" s="299"/>
      <c r="FU39" s="299"/>
      <c r="FV39" s="299"/>
      <c r="FW39" s="299"/>
      <c r="FX39" s="299"/>
      <c r="FY39" s="299"/>
      <c r="FZ39" s="299"/>
      <c r="GA39" s="207"/>
      <c r="GB39" s="207"/>
      <c r="GC39" s="299"/>
      <c r="GD39" s="299"/>
      <c r="GE39" s="299"/>
      <c r="GF39" s="299"/>
      <c r="GG39" s="299"/>
      <c r="GH39" s="299"/>
      <c r="GI39" s="299"/>
      <c r="GJ39" s="299"/>
      <c r="GK39" s="299"/>
      <c r="GL39" s="299"/>
      <c r="GM39" s="299"/>
      <c r="GN39" s="207"/>
      <c r="GO39" s="207"/>
      <c r="GP39" s="299"/>
      <c r="GQ39" s="299"/>
      <c r="GR39" s="299"/>
      <c r="GS39" s="299"/>
      <c r="GT39" s="299"/>
      <c r="GU39" s="299"/>
      <c r="GV39" s="299"/>
      <c r="GW39" s="299"/>
      <c r="GX39" s="299"/>
      <c r="GY39" s="299"/>
      <c r="GZ39" s="299"/>
      <c r="HA39" s="207"/>
      <c r="HB39" s="207"/>
      <c r="HC39" s="299"/>
      <c r="HD39" s="299"/>
      <c r="HE39" s="299"/>
      <c r="HF39" s="299"/>
      <c r="HG39" s="299"/>
      <c r="HH39" s="299"/>
      <c r="HI39" s="299"/>
      <c r="HJ39" s="299"/>
      <c r="HK39" s="299"/>
      <c r="HL39" s="299"/>
      <c r="HM39" s="299"/>
      <c r="HN39" s="207"/>
      <c r="HO39" s="207"/>
      <c r="HP39" s="299"/>
      <c r="HQ39" s="299"/>
      <c r="HR39" s="299"/>
      <c r="HS39" s="299"/>
      <c r="HT39" s="299"/>
      <c r="HU39" s="299"/>
      <c r="HV39" s="299"/>
      <c r="HW39" s="299"/>
      <c r="HX39" s="299"/>
      <c r="HY39" s="299"/>
      <c r="HZ39" s="299"/>
      <c r="IA39" s="207"/>
      <c r="IB39" s="207"/>
      <c r="IC39" s="299"/>
      <c r="ID39" s="299"/>
      <c r="IE39" s="299"/>
      <c r="IF39" s="299"/>
      <c r="IG39" s="299"/>
      <c r="IH39" s="299"/>
      <c r="II39" s="299"/>
      <c r="IJ39" s="299"/>
      <c r="IK39" s="299"/>
      <c r="IL39" s="299"/>
      <c r="IM39" s="299"/>
      <c r="IN39" s="207"/>
      <c r="IO39" s="207"/>
      <c r="IP39" s="299"/>
      <c r="IQ39" s="299"/>
      <c r="IR39" s="299"/>
      <c r="IS39" s="299"/>
      <c r="IT39" s="299"/>
      <c r="IU39" s="299"/>
      <c r="IV39" s="299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07"/>
      <c r="AB40" s="207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07"/>
      <c r="AO40" s="207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07"/>
      <c r="BB40" s="207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07"/>
      <c r="BO40" s="207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07"/>
      <c r="CB40" s="207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07"/>
      <c r="CO40" s="207"/>
      <c r="CP40" s="299"/>
      <c r="CQ40" s="299"/>
      <c r="CR40" s="299"/>
      <c r="CS40" s="299"/>
      <c r="CT40" s="299"/>
      <c r="CU40" s="299"/>
      <c r="CV40" s="299"/>
      <c r="CW40" s="299"/>
      <c r="CX40" s="299"/>
      <c r="CY40" s="299"/>
      <c r="CZ40" s="299"/>
      <c r="DA40" s="207"/>
      <c r="DB40" s="207"/>
      <c r="DC40" s="299"/>
      <c r="DD40" s="299"/>
      <c r="DE40" s="299"/>
      <c r="DF40" s="299"/>
      <c r="DG40" s="299"/>
      <c r="DH40" s="299"/>
      <c r="DI40" s="299"/>
      <c r="DJ40" s="299"/>
      <c r="DK40" s="299"/>
      <c r="DL40" s="299"/>
      <c r="DM40" s="299"/>
      <c r="DN40" s="207"/>
      <c r="DO40" s="207"/>
      <c r="DP40" s="299"/>
      <c r="DQ40" s="299"/>
      <c r="DR40" s="299"/>
      <c r="DS40" s="299"/>
      <c r="DT40" s="299"/>
      <c r="DU40" s="299"/>
      <c r="DV40" s="299"/>
      <c r="DW40" s="299"/>
      <c r="DX40" s="299"/>
      <c r="DY40" s="299"/>
      <c r="DZ40" s="299"/>
      <c r="EA40" s="207"/>
      <c r="EB40" s="207"/>
      <c r="EC40" s="299"/>
      <c r="ED40" s="299"/>
      <c r="EE40" s="299"/>
      <c r="EF40" s="299"/>
      <c r="EG40" s="299"/>
      <c r="EH40" s="299"/>
      <c r="EI40" s="299"/>
      <c r="EJ40" s="299"/>
      <c r="EK40" s="299"/>
      <c r="EL40" s="299"/>
      <c r="EM40" s="299"/>
      <c r="EN40" s="207"/>
      <c r="EO40" s="207"/>
      <c r="EP40" s="299"/>
      <c r="EQ40" s="299"/>
      <c r="ER40" s="299"/>
      <c r="ES40" s="299"/>
      <c r="ET40" s="299"/>
      <c r="EU40" s="299"/>
      <c r="EV40" s="299"/>
      <c r="EW40" s="299"/>
      <c r="EX40" s="299"/>
      <c r="EY40" s="299"/>
      <c r="EZ40" s="299"/>
      <c r="FA40" s="207"/>
      <c r="FB40" s="207"/>
      <c r="FC40" s="299"/>
      <c r="FD40" s="299"/>
      <c r="FE40" s="299"/>
      <c r="FF40" s="299"/>
      <c r="FG40" s="299"/>
      <c r="FH40" s="299"/>
      <c r="FI40" s="299"/>
      <c r="FJ40" s="299"/>
      <c r="FK40" s="299"/>
      <c r="FL40" s="299"/>
      <c r="FM40" s="299"/>
      <c r="FN40" s="207"/>
      <c r="FO40" s="207"/>
      <c r="FP40" s="299"/>
      <c r="FQ40" s="299"/>
      <c r="FR40" s="299"/>
      <c r="FS40" s="299"/>
      <c r="FT40" s="299"/>
      <c r="FU40" s="299"/>
      <c r="FV40" s="299"/>
      <c r="FW40" s="299"/>
      <c r="FX40" s="299"/>
      <c r="FY40" s="299"/>
      <c r="FZ40" s="299"/>
      <c r="GA40" s="207"/>
      <c r="GB40" s="207"/>
      <c r="GC40" s="299"/>
      <c r="GD40" s="299"/>
      <c r="GE40" s="299"/>
      <c r="GF40" s="299"/>
      <c r="GG40" s="299"/>
      <c r="GH40" s="299"/>
      <c r="GI40" s="299"/>
      <c r="GJ40" s="299"/>
      <c r="GK40" s="299"/>
      <c r="GL40" s="299"/>
      <c r="GM40" s="299"/>
      <c r="GN40" s="207"/>
      <c r="GO40" s="207"/>
      <c r="GP40" s="299"/>
      <c r="GQ40" s="299"/>
      <c r="GR40" s="299"/>
      <c r="GS40" s="299"/>
      <c r="GT40" s="299"/>
      <c r="GU40" s="299"/>
      <c r="GV40" s="299"/>
      <c r="GW40" s="299"/>
      <c r="GX40" s="299"/>
      <c r="GY40" s="299"/>
      <c r="GZ40" s="299"/>
      <c r="HA40" s="207"/>
      <c r="HB40" s="207"/>
      <c r="HC40" s="299"/>
      <c r="HD40" s="299"/>
      <c r="HE40" s="299"/>
      <c r="HF40" s="299"/>
      <c r="HG40" s="299"/>
      <c r="HH40" s="299"/>
      <c r="HI40" s="299"/>
      <c r="HJ40" s="299"/>
      <c r="HK40" s="299"/>
      <c r="HL40" s="299"/>
      <c r="HM40" s="299"/>
      <c r="HN40" s="207"/>
      <c r="HO40" s="207"/>
      <c r="HP40" s="299"/>
      <c r="HQ40" s="299"/>
      <c r="HR40" s="299"/>
      <c r="HS40" s="299"/>
      <c r="HT40" s="299"/>
      <c r="HU40" s="299"/>
      <c r="HV40" s="299"/>
      <c r="HW40" s="299"/>
      <c r="HX40" s="299"/>
      <c r="HY40" s="299"/>
      <c r="HZ40" s="299"/>
      <c r="IA40" s="207"/>
      <c r="IB40" s="207"/>
      <c r="IC40" s="299"/>
      <c r="ID40" s="299"/>
      <c r="IE40" s="299"/>
      <c r="IF40" s="299"/>
      <c r="IG40" s="299"/>
      <c r="IH40" s="299"/>
      <c r="II40" s="299"/>
      <c r="IJ40" s="299"/>
      <c r="IK40" s="299"/>
      <c r="IL40" s="299"/>
      <c r="IM40" s="299"/>
      <c r="IN40" s="207"/>
      <c r="IO40" s="207"/>
      <c r="IP40" s="299"/>
      <c r="IQ40" s="299"/>
      <c r="IR40" s="299"/>
      <c r="IS40" s="299"/>
      <c r="IT40" s="299"/>
      <c r="IU40" s="299"/>
      <c r="IV40" s="299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F0A" sheet="1" objects="1" scenarios="1"/>
  <mergeCells count="221">
    <mergeCell ref="IC40:IM40"/>
    <mergeCell ref="CC39:CM39"/>
    <mergeCell ref="CP39:CZ39"/>
    <mergeCell ref="AC40:AM40"/>
    <mergeCell ref="BP40:BZ40"/>
    <mergeCell ref="GC40:GM40"/>
    <mergeCell ref="C44:M44"/>
    <mergeCell ref="C40:M40"/>
    <mergeCell ref="C43:M43"/>
    <mergeCell ref="BC40:BM40"/>
    <mergeCell ref="DC39:DM39"/>
    <mergeCell ref="DP39:DZ39"/>
    <mergeCell ref="EC39:EM39"/>
    <mergeCell ref="GC39:GM39"/>
    <mergeCell ref="P39:Z39"/>
    <mergeCell ref="AC39:AM39"/>
    <mergeCell ref="AP39:AZ39"/>
    <mergeCell ref="BP39:BZ39"/>
    <mergeCell ref="EP40:EZ40"/>
    <mergeCell ref="FC40:FM40"/>
    <mergeCell ref="FP40:FZ40"/>
    <mergeCell ref="CC40:CM40"/>
    <mergeCell ref="CP40:CZ40"/>
    <mergeCell ref="DC40:DM40"/>
    <mergeCell ref="DP40:DZ40"/>
    <mergeCell ref="DP38:DZ38"/>
    <mergeCell ref="EC38:EM38"/>
    <mergeCell ref="IP40:IV40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GC38:GM38"/>
    <mergeCell ref="IP38:IV38"/>
    <mergeCell ref="GP38:GZ38"/>
    <mergeCell ref="HC38:HM38"/>
    <mergeCell ref="HP38:HZ38"/>
    <mergeCell ref="FP38:FZ38"/>
    <mergeCell ref="EP38:EZ38"/>
    <mergeCell ref="FC38:FM38"/>
    <mergeCell ref="HC40:HM40"/>
    <mergeCell ref="HP40:HZ40"/>
    <mergeCell ref="EC40:EM40"/>
    <mergeCell ref="GP40:GZ40"/>
    <mergeCell ref="IC38:IM38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GC31:GM31"/>
    <mergeCell ref="GP31:GZ31"/>
    <mergeCell ref="HC31:HM31"/>
    <mergeCell ref="DP31:DZ31"/>
    <mergeCell ref="EC31:EM31"/>
    <mergeCell ref="EP31:EZ31"/>
    <mergeCell ref="FC31:FM31"/>
    <mergeCell ref="DC32:DM32"/>
    <mergeCell ref="DP32:DZ32"/>
    <mergeCell ref="EC32:EM32"/>
    <mergeCell ref="FP32:FZ32"/>
    <mergeCell ref="GC32:GM32"/>
    <mergeCell ref="GP32:GZ32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HP30:HZ30"/>
    <mergeCell ref="EC30:EM30"/>
    <mergeCell ref="EP30:EZ30"/>
    <mergeCell ref="FC30:FM30"/>
    <mergeCell ref="FP30:FZ30"/>
    <mergeCell ref="IC30:IM30"/>
    <mergeCell ref="DP30:DZ30"/>
    <mergeCell ref="BC30:BM30"/>
    <mergeCell ref="BP30:BZ30"/>
    <mergeCell ref="GC30:GM30"/>
    <mergeCell ref="GP30:GZ30"/>
    <mergeCell ref="HC30:HM30"/>
    <mergeCell ref="HP31:HZ31"/>
    <mergeCell ref="IC31:IM31"/>
    <mergeCell ref="CC30:CM30"/>
    <mergeCell ref="CP30:CZ30"/>
    <mergeCell ref="DC30:DM30"/>
    <mergeCell ref="AC38:AM38"/>
    <mergeCell ref="AP38:AZ38"/>
    <mergeCell ref="BP32:BZ32"/>
    <mergeCell ref="BC38:BM38"/>
    <mergeCell ref="AC32:AM32"/>
    <mergeCell ref="AP32:AZ32"/>
    <mergeCell ref="BP38:BZ38"/>
    <mergeCell ref="CC38:CM38"/>
    <mergeCell ref="CC32:CM32"/>
    <mergeCell ref="CP38:CZ38"/>
    <mergeCell ref="DC38:DM38"/>
    <mergeCell ref="P30:Z30"/>
    <mergeCell ref="AC30:AM30"/>
    <mergeCell ref="AP30:AZ30"/>
    <mergeCell ref="C41:M41"/>
    <mergeCell ref="C33:M33"/>
    <mergeCell ref="C37:M37"/>
    <mergeCell ref="C38:M38"/>
    <mergeCell ref="P40:Z40"/>
    <mergeCell ref="AP29:AZ29"/>
    <mergeCell ref="P32:Z32"/>
    <mergeCell ref="P31:Z31"/>
    <mergeCell ref="AP31:AZ31"/>
    <mergeCell ref="AC31:AM31"/>
    <mergeCell ref="P38:Z38"/>
    <mergeCell ref="IP29:IV29"/>
    <mergeCell ref="CP29:CZ29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DC29:DM29"/>
    <mergeCell ref="C15:M15"/>
    <mergeCell ref="DP29:DZ29"/>
    <mergeCell ref="EC29:EM29"/>
    <mergeCell ref="C20:M20"/>
    <mergeCell ref="BC29:BM29"/>
    <mergeCell ref="BP29:BZ29"/>
    <mergeCell ref="CC29:CM29"/>
    <mergeCell ref="P29:Z29"/>
    <mergeCell ref="AC29:AM29"/>
    <mergeCell ref="A1:I1"/>
    <mergeCell ref="C3:M3"/>
    <mergeCell ref="C4:M4"/>
    <mergeCell ref="F2:I2"/>
    <mergeCell ref="A2:E2"/>
    <mergeCell ref="C27:M27"/>
    <mergeCell ref="C28:M28"/>
    <mergeCell ref="C14:M14"/>
    <mergeCell ref="C32:M32"/>
    <mergeCell ref="C6:M6"/>
    <mergeCell ref="C8:M8"/>
    <mergeCell ref="C9:M9"/>
    <mergeCell ref="C10:M10"/>
    <mergeCell ref="C11:M11"/>
    <mergeCell ref="C13:M13"/>
    <mergeCell ref="C12:M12"/>
    <mergeCell ref="C21:M21"/>
    <mergeCell ref="C18:M18"/>
    <mergeCell ref="C22:M22"/>
    <mergeCell ref="C23:M23"/>
    <mergeCell ref="C26:M26"/>
    <mergeCell ref="C24:M24"/>
    <mergeCell ref="C29:M29"/>
    <mergeCell ref="C25:M25"/>
    <mergeCell ref="C45:M45"/>
    <mergeCell ref="C46:M46"/>
    <mergeCell ref="C52:M52"/>
    <mergeCell ref="C50:M50"/>
    <mergeCell ref="C47:M47"/>
    <mergeCell ref="C48:M48"/>
    <mergeCell ref="C16:M16"/>
    <mergeCell ref="C17:M17"/>
    <mergeCell ref="C34:M34"/>
    <mergeCell ref="C35:M35"/>
    <mergeCell ref="C49:M49"/>
    <mergeCell ref="C51:M51"/>
    <mergeCell ref="C30:M30"/>
    <mergeCell ref="C31:M31"/>
    <mergeCell ref="C36:M36"/>
    <mergeCell ref="C39:M39"/>
    <mergeCell ref="C42:M42"/>
    <mergeCell ref="C19:M19"/>
    <mergeCell ref="C62:M62"/>
    <mergeCell ref="C63:M63"/>
    <mergeCell ref="C64:M64"/>
    <mergeCell ref="C65:M65"/>
    <mergeCell ref="C66:M66"/>
    <mergeCell ref="C67:M67"/>
    <mergeCell ref="C68:M68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82:M82"/>
    <mergeCell ref="C88:M88"/>
    <mergeCell ref="C89:M89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69:M69"/>
    <mergeCell ref="C77:M77"/>
    <mergeCell ref="C78:M78"/>
    <mergeCell ref="C70:M70"/>
    <mergeCell ref="A72:E72"/>
    <mergeCell ref="C73:M73"/>
    <mergeCell ref="C74:M74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2012-10-03T18:42:38Z</cp:lastPrinted>
  <dcterms:created xsi:type="dcterms:W3CDTF">1997-12-04T19:04:30Z</dcterms:created>
  <dcterms:modified xsi:type="dcterms:W3CDTF">2012-11-21T14:52:35Z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