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380" i="1" l="1"/>
  <c r="G612" i="1" l="1"/>
  <c r="G611" i="1"/>
  <c r="H610" i="1"/>
  <c r="G610" i="1"/>
  <c r="F610" i="1"/>
  <c r="J603" i="1"/>
  <c r="H603" i="1"/>
  <c r="I603" i="1"/>
  <c r="K319" i="1" l="1"/>
  <c r="I319" i="1"/>
  <c r="J591" i="1"/>
  <c r="I594" i="1"/>
  <c r="I591" i="1"/>
  <c r="I561" i="1"/>
  <c r="G561" i="1"/>
  <c r="I527" i="1"/>
  <c r="I526" i="1"/>
  <c r="I525" i="1"/>
  <c r="H525" i="1"/>
  <c r="G527" i="1"/>
  <c r="H542" i="1"/>
  <c r="H527" i="1"/>
  <c r="H541" i="1"/>
  <c r="H526" i="1"/>
  <c r="H520" i="1"/>
  <c r="G526" i="1"/>
  <c r="G525" i="1"/>
  <c r="F527" i="1"/>
  <c r="F526" i="1"/>
  <c r="F525" i="1"/>
  <c r="J501" i="1"/>
  <c r="J500" i="1"/>
  <c r="I501" i="1"/>
  <c r="I500" i="1"/>
  <c r="H501" i="1"/>
  <c r="J496" i="1"/>
  <c r="I496" i="1"/>
  <c r="H471" i="1"/>
  <c r="H467" i="1"/>
  <c r="H366" i="1"/>
  <c r="G366" i="1"/>
  <c r="K322" i="1"/>
  <c r="H319" i="1"/>
  <c r="G319" i="1"/>
  <c r="F319" i="1"/>
  <c r="J313" i="1"/>
  <c r="I313" i="1"/>
  <c r="H313" i="1"/>
  <c r="H300" i="1"/>
  <c r="K284" i="1"/>
  <c r="H282" i="1"/>
  <c r="J281" i="1"/>
  <c r="I281" i="1"/>
  <c r="H281" i="1"/>
  <c r="G281" i="1"/>
  <c r="F281" i="1"/>
  <c r="J275" i="1"/>
  <c r="I275" i="1"/>
  <c r="H275" i="1"/>
  <c r="F202" i="1"/>
  <c r="G202" i="1"/>
  <c r="H202" i="1"/>
  <c r="I202" i="1"/>
  <c r="H203" i="1"/>
  <c r="H206" i="1"/>
  <c r="I318" i="1"/>
  <c r="G318" i="1"/>
  <c r="F318" i="1"/>
  <c r="I278" i="1"/>
  <c r="H280" i="1"/>
  <c r="H278" i="1"/>
  <c r="K262" i="1"/>
  <c r="K239" i="1"/>
  <c r="K238" i="1"/>
  <c r="K237" i="1"/>
  <c r="J242" i="1"/>
  <c r="I244" i="1"/>
  <c r="I242" i="1"/>
  <c r="I240" i="1"/>
  <c r="I239" i="1"/>
  <c r="I238" i="1"/>
  <c r="I237" i="1"/>
  <c r="I235" i="1"/>
  <c r="H244" i="1"/>
  <c r="H242" i="1"/>
  <c r="H243" i="1"/>
  <c r="H240" i="1"/>
  <c r="H239" i="1"/>
  <c r="H238" i="1"/>
  <c r="H237" i="1"/>
  <c r="H235" i="1"/>
  <c r="G239" i="1"/>
  <c r="G244" i="1"/>
  <c r="G242" i="1"/>
  <c r="G238" i="1"/>
  <c r="G237" i="1"/>
  <c r="G235" i="1"/>
  <c r="F244" i="1"/>
  <c r="F242" i="1"/>
  <c r="F239" i="1"/>
  <c r="F238" i="1"/>
  <c r="F237" i="1"/>
  <c r="F235" i="1"/>
  <c r="K221" i="1"/>
  <c r="K220" i="1"/>
  <c r="K219" i="1"/>
  <c r="K217" i="1"/>
  <c r="I226" i="1"/>
  <c r="I221" i="1"/>
  <c r="I220" i="1"/>
  <c r="I219" i="1"/>
  <c r="I217" i="1"/>
  <c r="H226" i="1"/>
  <c r="H225" i="1"/>
  <c r="H222" i="1"/>
  <c r="H221" i="1"/>
  <c r="H220" i="1"/>
  <c r="H219" i="1"/>
  <c r="H217" i="1"/>
  <c r="G226" i="1"/>
  <c r="G221" i="1"/>
  <c r="G220" i="1"/>
  <c r="G219" i="1"/>
  <c r="G217" i="1"/>
  <c r="F226" i="1"/>
  <c r="F221" i="1"/>
  <c r="F220" i="1"/>
  <c r="F219" i="1"/>
  <c r="F217" i="1"/>
  <c r="K203" i="1"/>
  <c r="K197" i="1"/>
  <c r="J197" i="1"/>
  <c r="I208" i="1"/>
  <c r="I203" i="1"/>
  <c r="I201" i="1"/>
  <c r="I197" i="1"/>
  <c r="H208" i="1"/>
  <c r="H207" i="1"/>
  <c r="H201" i="1"/>
  <c r="H197" i="1"/>
  <c r="G208" i="1"/>
  <c r="G203" i="1"/>
  <c r="G201" i="1"/>
  <c r="G197" i="1"/>
  <c r="F208" i="1"/>
  <c r="F204" i="1"/>
  <c r="F203" i="1"/>
  <c r="F201" i="1"/>
  <c r="F197" i="1"/>
  <c r="G96" i="1"/>
  <c r="F109" i="1"/>
  <c r="H28" i="1"/>
  <c r="H24" i="1"/>
  <c r="H9" i="1"/>
  <c r="H30" i="1"/>
  <c r="H22" i="1"/>
  <c r="H17" i="1"/>
  <c r="H13" i="1"/>
  <c r="G9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C111" i="2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D126" i="2" s="1"/>
  <c r="D127" i="2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E123" i="2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E121" i="2" s="1"/>
  <c r="L323" i="1"/>
  <c r="L324" i="1"/>
  <c r="L325" i="1"/>
  <c r="L332" i="1"/>
  <c r="E113" i="2" s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L249" i="1"/>
  <c r="L331" i="1"/>
  <c r="L253" i="1"/>
  <c r="C25" i="10"/>
  <c r="L267" i="1"/>
  <c r="L268" i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L350" i="1" s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D18" i="2" s="1"/>
  <c r="E8" i="2"/>
  <c r="F8" i="2"/>
  <c r="F18" i="2" s="1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F102" i="2" s="1"/>
  <c r="C93" i="2"/>
  <c r="F93" i="2"/>
  <c r="D95" i="2"/>
  <c r="E95" i="2"/>
  <c r="F95" i="2"/>
  <c r="G95" i="2"/>
  <c r="C96" i="2"/>
  <c r="D96" i="2"/>
  <c r="E96" i="2"/>
  <c r="F96" i="2"/>
  <c r="G96" i="2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10" i="2"/>
  <c r="C112" i="2"/>
  <c r="E112" i="2"/>
  <c r="C113" i="2"/>
  <c r="D114" i="2"/>
  <c r="F114" i="2"/>
  <c r="G114" i="2"/>
  <c r="E120" i="2"/>
  <c r="E122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G158" i="2" s="1"/>
  <c r="E158" i="2"/>
  <c r="F158" i="2"/>
  <c r="B159" i="2"/>
  <c r="C159" i="2"/>
  <c r="G159" i="2" s="1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G623" i="1" s="1"/>
  <c r="I50" i="1"/>
  <c r="G624" i="1" s="1"/>
  <c r="F176" i="1"/>
  <c r="I176" i="1"/>
  <c r="F182" i="1"/>
  <c r="F191" i="1" s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H407" i="1" s="1"/>
  <c r="H643" i="1" s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638" i="1" s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G619" i="1"/>
  <c r="G621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G640" i="1"/>
  <c r="H640" i="1"/>
  <c r="G642" i="1"/>
  <c r="H642" i="1"/>
  <c r="G643" i="1"/>
  <c r="G648" i="1"/>
  <c r="H649" i="1"/>
  <c r="G651" i="1"/>
  <c r="H651" i="1"/>
  <c r="G652" i="1"/>
  <c r="H652" i="1"/>
  <c r="J652" i="1" s="1"/>
  <c r="G653" i="1"/>
  <c r="H653" i="1"/>
  <c r="J653" i="1" s="1"/>
  <c r="H654" i="1"/>
  <c r="L255" i="1"/>
  <c r="C18" i="2"/>
  <c r="C26" i="10"/>
  <c r="E49" i="2"/>
  <c r="D18" i="13"/>
  <c r="C18" i="13" s="1"/>
  <c r="D17" i="13"/>
  <c r="C17" i="13" s="1"/>
  <c r="C90" i="2"/>
  <c r="G80" i="2"/>
  <c r="F77" i="2"/>
  <c r="F80" i="2" s="1"/>
  <c r="F61" i="2"/>
  <c r="F62" i="2" s="1"/>
  <c r="D31" i="2"/>
  <c r="D49" i="2"/>
  <c r="G156" i="2"/>
  <c r="F49" i="2"/>
  <c r="E143" i="2"/>
  <c r="E102" i="2"/>
  <c r="D90" i="2"/>
  <c r="F90" i="2"/>
  <c r="G61" i="2"/>
  <c r="D19" i="13"/>
  <c r="C19" i="13" s="1"/>
  <c r="I191" i="1" l="1"/>
  <c r="I192" i="1" s="1"/>
  <c r="G629" i="1" s="1"/>
  <c r="J629" i="1" s="1"/>
  <c r="G102" i="2"/>
  <c r="A40" i="12"/>
  <c r="A31" i="12"/>
  <c r="I459" i="1"/>
  <c r="I460" i="1" s="1"/>
  <c r="H641" i="1" s="1"/>
  <c r="G644" i="1"/>
  <c r="J644" i="1" s="1"/>
  <c r="I445" i="1"/>
  <c r="G641" i="1" s="1"/>
  <c r="J641" i="1" s="1"/>
  <c r="L613" i="1"/>
  <c r="I662" i="1"/>
  <c r="L533" i="1"/>
  <c r="L523" i="1"/>
  <c r="L528" i="1"/>
  <c r="F544" i="1"/>
  <c r="G161" i="2"/>
  <c r="G162" i="2"/>
  <c r="G163" i="2"/>
  <c r="K502" i="1"/>
  <c r="G160" i="2"/>
  <c r="K499" i="1"/>
  <c r="G155" i="2"/>
  <c r="G660" i="1"/>
  <c r="H660" i="1"/>
  <c r="F660" i="1"/>
  <c r="D29" i="13"/>
  <c r="C29" i="13" s="1"/>
  <c r="L361" i="1"/>
  <c r="C24" i="10"/>
  <c r="E119" i="2"/>
  <c r="C121" i="2"/>
  <c r="K337" i="1"/>
  <c r="K351" i="1" s="1"/>
  <c r="G31" i="13"/>
  <c r="G33" i="13" s="1"/>
  <c r="L327" i="1"/>
  <c r="E117" i="2"/>
  <c r="C13" i="10"/>
  <c r="E111" i="2"/>
  <c r="E108" i="2"/>
  <c r="I337" i="1"/>
  <c r="I351" i="1" s="1"/>
  <c r="E118" i="2"/>
  <c r="E109" i="2"/>
  <c r="J337" i="1"/>
  <c r="J351" i="1" s="1"/>
  <c r="F31" i="13"/>
  <c r="F661" i="1"/>
  <c r="L289" i="1"/>
  <c r="E110" i="2"/>
  <c r="C12" i="10"/>
  <c r="H646" i="1"/>
  <c r="C123" i="2"/>
  <c r="H661" i="1"/>
  <c r="C19" i="10"/>
  <c r="L246" i="1"/>
  <c r="E13" i="13"/>
  <c r="C13" i="13" s="1"/>
  <c r="C124" i="2"/>
  <c r="C15" i="10"/>
  <c r="K256" i="1"/>
  <c r="K270" i="1" s="1"/>
  <c r="D15" i="13"/>
  <c r="C15" i="13" s="1"/>
  <c r="C21" i="10"/>
  <c r="G649" i="1"/>
  <c r="I256" i="1"/>
  <c r="I270" i="1" s="1"/>
  <c r="C122" i="2"/>
  <c r="C119" i="2"/>
  <c r="G256" i="1"/>
  <c r="G270" i="1" s="1"/>
  <c r="J649" i="1"/>
  <c r="C18" i="10"/>
  <c r="C16" i="10"/>
  <c r="F256" i="1"/>
  <c r="F270" i="1" s="1"/>
  <c r="D6" i="13"/>
  <c r="C6" i="13" s="1"/>
  <c r="C117" i="2"/>
  <c r="L228" i="1"/>
  <c r="C11" i="10"/>
  <c r="C108" i="2"/>
  <c r="J651" i="1"/>
  <c r="J648" i="1"/>
  <c r="D14" i="13"/>
  <c r="C14" i="13" s="1"/>
  <c r="D12" i="13"/>
  <c r="C12" i="13" s="1"/>
  <c r="D7" i="13"/>
  <c r="C7" i="13" s="1"/>
  <c r="C118" i="2"/>
  <c r="C20" i="10"/>
  <c r="C17" i="10"/>
  <c r="C109" i="2"/>
  <c r="C120" i="2"/>
  <c r="E8" i="13"/>
  <c r="C8" i="13" s="1"/>
  <c r="L210" i="1"/>
  <c r="A22" i="12"/>
  <c r="C10" i="10"/>
  <c r="E61" i="2"/>
  <c r="E62" i="2" s="1"/>
  <c r="E103" i="2" s="1"/>
  <c r="D61" i="2"/>
  <c r="D62" i="2" s="1"/>
  <c r="D103" i="2" s="1"/>
  <c r="C77" i="2"/>
  <c r="F139" i="1"/>
  <c r="C61" i="2"/>
  <c r="C62" i="2" s="1"/>
  <c r="F31" i="2"/>
  <c r="F50" i="2" s="1"/>
  <c r="I51" i="1"/>
  <c r="H619" i="1" s="1"/>
  <c r="J619" i="1" s="1"/>
  <c r="E31" i="2"/>
  <c r="E50" i="2" s="1"/>
  <c r="H51" i="1"/>
  <c r="H618" i="1" s="1"/>
  <c r="J618" i="1" s="1"/>
  <c r="E18" i="2"/>
  <c r="G622" i="1"/>
  <c r="D50" i="2"/>
  <c r="C31" i="2"/>
  <c r="J616" i="1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H192" i="1" s="1"/>
  <c r="G628" i="1" s="1"/>
  <c r="J628" i="1" s="1"/>
  <c r="G551" i="1"/>
  <c r="L433" i="1"/>
  <c r="G637" i="1" s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C49" i="2"/>
  <c r="J654" i="1"/>
  <c r="J192" i="1"/>
  <c r="L569" i="1"/>
  <c r="I570" i="1"/>
  <c r="I544" i="1"/>
  <c r="J635" i="1"/>
  <c r="G36" i="2"/>
  <c r="G49" i="2" s="1"/>
  <c r="G50" i="2" s="1"/>
  <c r="J50" i="1"/>
  <c r="L564" i="1"/>
  <c r="G544" i="1"/>
  <c r="H544" i="1"/>
  <c r="K550" i="1"/>
  <c r="F143" i="2"/>
  <c r="F144" i="2" s="1"/>
  <c r="H647" i="1" l="1"/>
  <c r="J647" i="1" s="1"/>
  <c r="I661" i="1"/>
  <c r="L570" i="1"/>
  <c r="L544" i="1"/>
  <c r="K551" i="1"/>
  <c r="I660" i="1"/>
  <c r="C27" i="10"/>
  <c r="C28" i="10" s="1"/>
  <c r="D23" i="10" s="1"/>
  <c r="G634" i="1"/>
  <c r="J634" i="1" s="1"/>
  <c r="H659" i="1"/>
  <c r="H663" i="1" s="1"/>
  <c r="H666" i="1" s="1"/>
  <c r="E127" i="2"/>
  <c r="E114" i="2"/>
  <c r="J646" i="1"/>
  <c r="C114" i="2"/>
  <c r="L256" i="1"/>
  <c r="L270" i="1" s="1"/>
  <c r="G631" i="1" s="1"/>
  <c r="J631" i="1" s="1"/>
  <c r="C127" i="2"/>
  <c r="J270" i="1"/>
  <c r="F659" i="1"/>
  <c r="F663" i="1" s="1"/>
  <c r="F671" i="1" s="1"/>
  <c r="C4" i="10" s="1"/>
  <c r="C39" i="10"/>
  <c r="C103" i="2"/>
  <c r="C36" i="10"/>
  <c r="F192" i="1"/>
  <c r="G626" i="1" s="1"/>
  <c r="J626" i="1" s="1"/>
  <c r="J622" i="1"/>
  <c r="C50" i="2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E144" i="2" l="1"/>
  <c r="H671" i="1"/>
  <c r="C6" i="10" s="1"/>
  <c r="C144" i="2"/>
  <c r="D10" i="10"/>
  <c r="D27" i="10"/>
  <c r="F666" i="1"/>
  <c r="D13" i="10"/>
  <c r="D22" i="10"/>
  <c r="D16" i="10"/>
  <c r="D21" i="10"/>
  <c r="D18" i="10"/>
  <c r="D11" i="10"/>
  <c r="D25" i="10"/>
  <c r="D20" i="10"/>
  <c r="D26" i="10"/>
  <c r="D24" i="10"/>
  <c r="D17" i="10"/>
  <c r="D12" i="10"/>
  <c r="D19" i="10"/>
  <c r="C30" i="10"/>
  <c r="D15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35" i="10"/>
  <c r="D38" i="10"/>
  <c r="D37" i="10"/>
  <c r="D36" i="10"/>
  <c r="D40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<sst xmlns="http://schemas.openxmlformats.org/spreadsheetml/2006/main" count="3953" uniqueCount="918">
  <si>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</si>
  <si>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</si>
  <si>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</si>
  <si>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</si>
  <si>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</si>
  <si>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</si>
  <si>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</si>
  <si>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</si>
  <si>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</si>
  <si>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</si>
  <si>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</si>
  <si>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</si>
  <si>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</si>
  <si>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</si>
  <si>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</si>
  <si>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</si>
  <si>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</si>
  <si>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</si>
  <si>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</si>
  <si>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</si>
  <si>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</si>
  <si>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</si>
  <si>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</si>
  <si>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</si>
  <si>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</si>
  <si>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</si>
  <si>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</si>
  <si>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</si>
  <si>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</si>
  <si>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</si>
  <si>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</si>
  <si>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</si>
  <si>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</si>
  <si>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</si>
  <si>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</si>
  <si>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</si>
  <si>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</si>
  <si>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</si>
  <si>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</si>
  <si>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</si>
  <si>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</si>
  <si>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</si>
  <si>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</si>
  <si>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</si>
  <si>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</si>
  <si>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</si>
  <si>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</si>
  <si>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</si>
  <si>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</si>
  <si>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</si>
  <si>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</si>
  <si>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</si>
  <si>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</si>
  <si>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</si>
  <si>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</si>
  <si>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</si>
  <si>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</si>
  <si>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</si>
  <si>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</si>
  <si>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</si>
  <si>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</si>
  <si>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</si>
  <si>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</si>
  <si>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</si>
  <si>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</si>
  <si>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</si>
  <si>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</si>
  <si>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</si>
  <si>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</si>
  <si>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</si>
  <si>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</si>
  <si>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</si>
  <si>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</si>
  <si>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</si>
  <si>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</si>
  <si>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</si>
  <si>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</si>
  <si>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</si>
  <si>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</si>
  <si>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</si>
  <si>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</si>
  <si>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</si>
  <si>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</si>
  <si>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</si>
  <si>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</si>
  <si>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</si>
  <si>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</si>
  <si>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</si>
  <si>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</si>
  <si>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</si>
  <si>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</si>
  <si>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</si>
  <si>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</si>
  <si>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</si>
  <si>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</si>
  <si>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</si>
  <si>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</si>
  <si>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</si>
  <si>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</si>
  <si>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</si>
  <si>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</si>
  <si>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</si>
  <si>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</si>
  <si>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</si>
  <si>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</si>
  <si>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</si>
  <si>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</si>
  <si>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</si>
  <si>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</si>
  <si>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</si>
  <si>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</si>
  <si>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</si>
  <si>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</si>
  <si>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</si>
  <si>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</si>
  <si>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</si>
  <si>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</si>
  <si>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</si>
  <si>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</si>
  <si>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</si>
  <si>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</si>
  <si>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</si>
  <si>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</si>
  <si>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</si>
  <si>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</si>
  <si>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</si>
  <si>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</si>
  <si>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</si>
  <si>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</si>
  <si>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</si>
  <si>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</si>
  <si>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</si>
  <si>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</si>
  <si>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</si>
  <si>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</si>
  <si>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</si>
  <si>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</si>
  <si>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</si>
  <si>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</si>
  <si>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</si>
  <si>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</si>
  <si>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</si>
  <si>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</si>
  <si>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</si>
  <si>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</si>
  <si>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</si>
  <si>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</si>
  <si>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</si>
  <si>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</si>
  <si>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</si>
  <si>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</si>
  <si>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</si>
  <si>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</si>
  <si>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</si>
  <si>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</si>
  <si>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</si>
  <si>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</si>
  <si>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</si>
  <si>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</si>
  <si>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</si>
  <si>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</si>
  <si>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</si>
  <si>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</si>
  <si>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</si>
  <si>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</si>
  <si>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</si>
  <si>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</si>
  <si>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</si>
  <si>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</si>
  <si>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</si>
  <si>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</si>
  <si>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</si>
  <si>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</si>
  <si>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</si>
  <si>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</si>
  <si>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</si>
  <si>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</si>
  <si>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</si>
  <si>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</si>
  <si>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</si>
  <si>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</si>
  <si>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</si>
  <si>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</si>
  <si>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</si>
  <si>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</si>
  <si>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</si>
  <si>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</si>
  <si>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</si>
  <si>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</si>
  <si>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</si>
  <si>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</si>
  <si>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</si>
  <si>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</si>
  <si>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</si>
  <si>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</si>
  <si>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</si>
  <si>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</si>
  <si>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</si>
  <si>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</si>
  <si>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</si>
  <si>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</si>
  <si>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</si>
  <si>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</si>
  <si>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</si>
  <si>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</si>
  <si>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</si>
  <si>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</si>
  <si>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</si>
  <si>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</si>
  <si>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</si>
  <si>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</si>
  <si>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</si>
  <si>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</si>
  <si>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</si>
  <si>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</si>
  <si>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</si>
  <si>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</si>
  <si>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</si>
  <si>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</si>
  <si>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</si>
  <si>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</si>
  <si>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</si>
  <si>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</si>
  <si>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</si>
  <si>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</si>
  <si>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</si>
  <si>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</si>
  <si>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</si>
  <si>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</si>
  <si>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</si>
  <si>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</si>
  <si>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</si>
  <si>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</si>
  <si>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</si>
  <si>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</si>
  <si>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</si>
  <si>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</si>
  <si>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</si>
  <si>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</si>
  <si>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</si>
  <si>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</si>
  <si>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</si>
  <si>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</si>
  <si>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</si>
  <si>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</si>
  <si>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</si>
  <si>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</si>
  <si>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</si>
  <si>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</si>
  <si>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</si>
  <si>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</si>
  <si>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</si>
  <si>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</si>
  <si>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</si>
  <si>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</si>
  <si>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</si>
  <si>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</si>
  <si>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</si>
  <si>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</si>
  <si>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</si>
  <si>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</si>
  <si>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</si>
  <si>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</si>
  <si>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</si>
  <si>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</si>
  <si>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</si>
  <si>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</si>
  <si>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</si>
  <si>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</si>
  <si>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</si>
  <si>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</si>
  <si>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</si>
  <si>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</si>
  <si>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</si>
  <si>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</si>
  <si>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</si>
  <si>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</si>
  <si>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</si>
  <si>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</si>
  <si>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</si>
  <si>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</si>
  <si>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</si>
  <si>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</si>
  <si>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</si>
  <si>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</si>
  <si>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</si>
  <si>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</si>
  <si>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</si>
  <si>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</si>
  <si>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</si>
  <si>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</si>
  <si>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</si>
  <si>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</si>
  <si>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</si>
  <si>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</si>
  <si>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</si>
  <si>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</si>
  <si>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</si>
  <si>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</si>
  <si>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</si>
  <si>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</si>
  <si>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</si>
  <si>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</si>
  <si>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</si>
  <si>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</si>
  <si>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</si>
  <si>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</si>
  <si>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</si>
  <si>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</si>
  <si>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</si>
  <si>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</si>
  <si>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</si>
  <si>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</si>
  <si>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</si>
  <si>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</si>
  <si>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</si>
  <si>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</si>
  <si>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</si>
  <si>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</si>
  <si>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</si>
  <si>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</si>
  <si>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</si>
  <si>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</si>
  <si>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</si>
  <si>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</si>
  <si>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</si>
  <si>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</si>
  <si>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</si>
  <si>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</si>
  <si>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</si>
  <si>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</si>
  <si>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</si>
  <si>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</si>
  <si>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</si>
  <si>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</si>
  <si>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</si>
  <si>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</si>
  <si>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</si>
  <si>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</si>
  <si>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</si>
  <si>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</si>
  <si>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</si>
  <si>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</si>
  <si>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</si>
  <si>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</si>
  <si>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</si>
  <si>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</si>
  <si>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</si>
  <si>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</si>
  <si>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</si>
  <si>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</si>
  <si>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</si>
  <si>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</si>
  <si>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</si>
  <si>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</si>
  <si>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</si>
  <si>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</si>
  <si>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</si>
  <si>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</si>
  <si>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</si>
  <si>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</si>
  <si>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</si>
  <si>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</si>
  <si>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</si>
  <si>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</si>
  <si>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</si>
  <si>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</si>
  <si>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</si>
  <si>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</si>
  <si>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</si>
  <si>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</si>
  <si>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</si>
  <si>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</si>
  <si>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</si>
  <si>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</si>
  <si>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</si>
  <si>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</si>
  <si>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</si>
  <si>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</si>
  <si>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</si>
  <si>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</si>
  <si>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</si>
  <si>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</si>
  <si>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</si>
  <si>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</si>
  <si>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</si>
  <si>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</si>
  <si>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</si>
  <si>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</si>
  <si>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</si>
  <si>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</si>
  <si>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</si>
  <si>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</si>
  <si>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</si>
  <si>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</si>
  <si>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</si>
  <si>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</si>
  <si>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</si>
  <si>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</si>
  <si>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</si>
  <si>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</si>
  <si>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</si>
  <si>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</si>
  <si>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</si>
  <si>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</si>
  <si>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</si>
  <si>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</si>
  <si>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</si>
  <si>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</si>
  <si>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</si>
  <si>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</si>
  <si>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</si>
  <si>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</si>
  <si>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</si>
  <si>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</si>
  <si>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</si>
  <si>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</si>
  <si>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</si>
  <si>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</si>
  <si>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</si>
  <si>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</si>
  <si>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</si>
  <si>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</si>
  <si>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</si>
  <si>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</si>
  <si>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</si>
  <si>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</si>
  <si>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</si>
  <si>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</si>
  <si>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</si>
  <si>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</si>
  <si>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</si>
  <si>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</si>
  <si>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</si>
  <si>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</si>
  <si>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</si>
  <si>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</si>
  <si>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</si>
  <si>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</si>
  <si>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</si>
  <si>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</si>
  <si>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</si>
  <si>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</si>
  <si>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</si>
  <si>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</si>
  <si>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</si>
  <si>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</si>
  <si>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</si>
  <si>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</si>
  <si>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</si>
  <si>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</si>
  <si>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</si>
  <si>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</si>
  <si>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</si>
  <si>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</si>
  <si>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</si>
  <si>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</si>
  <si>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</si>
  <si>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</si>
  <si>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</si>
  <si>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</si>
  <si>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</si>
  <si>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</si>
  <si>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</si>
  <si>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</si>
  <si>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</si>
  <si>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</si>
  <si>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</si>
  <si>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</si>
  <si>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</si>
  <si>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</si>
  <si>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</si>
  <si>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</si>
  <si>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</si>
  <si>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</si>
  <si>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</si>
  <si>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</si>
  <si>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</si>
  <si>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</si>
  <si>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</si>
  <si>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</si>
  <si>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</si>
  <si>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</si>
  <si>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</si>
  <si>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</si>
  <si>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</si>
  <si>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</si>
  <si>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</si>
  <si>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</si>
  <si>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</si>
  <si>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</si>
  <si>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</si>
  <si>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</si>
  <si>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</si>
  <si>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</si>
  <si>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</si>
  <si>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</si>
  <si>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</si>
  <si>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</si>
  <si>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</si>
  <si>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</si>
  <si>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</si>
  <si>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</si>
  <si>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</si>
  <si>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</si>
  <si>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</si>
  <si>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</si>
  <si>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</si>
  <si>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</si>
  <si>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</si>
  <si>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</si>
  <si>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</si>
  <si>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</si>
  <si>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</si>
  <si>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</si>
  <si>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</si>
  <si>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</si>
  <si>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</si>
  <si>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</si>
  <si>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</si>
  <si>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</si>
  <si>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</si>
  <si>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</si>
  <si>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</si>
  <si>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</si>
  <si>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</si>
  <si>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</si>
  <si>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</si>
  <si>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</si>
  <si>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</si>
  <si>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</si>
  <si>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</si>
  <si>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</si>
  <si>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</si>
  <si>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</si>
  <si>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</si>
  <si>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</si>
  <si>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</si>
  <si>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</si>
  <si>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</si>
  <si>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</si>
  <si>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</si>
  <si>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</si>
  <si>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</si>
  <si>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</si>
  <si>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</si>
  <si>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</si>
  <si>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</si>
  <si>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</si>
  <si>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</si>
  <si>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</si>
  <si>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</si>
  <si>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</si>
  <si>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</si>
  <si>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</si>
  <si>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</si>
  <si>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</si>
  <si>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</si>
  <si>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</si>
  <si>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</si>
  <si>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</si>
  <si>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</si>
  <si>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</si>
  <si>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</si>
  <si>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</si>
  <si>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</si>
  <si>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</si>
  <si>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</si>
  <si>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</si>
  <si>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</si>
  <si>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</si>
  <si>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</si>
  <si>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</si>
  <si>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</si>
  <si>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</si>
  <si>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</si>
  <si>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</si>
  <si>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</si>
  <si>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</si>
  <si>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</si>
  <si>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</si>
  <si>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</si>
  <si>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</si>
  <si>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</si>
  <si>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</si>
  <si>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</si>
  <si>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</si>
  <si>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</si>
  <si>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</si>
  <si>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</si>
  <si>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</si>
  <si>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</si>
  <si>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</si>
  <si>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</si>
  <si>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</si>
  <si>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</si>
  <si>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</si>
  <si>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</si>
  <si>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</si>
  <si>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</si>
  <si>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</si>
  <si>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</si>
  <si>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</si>
  <si>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</si>
  <si>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</si>
  <si>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</si>
  <si>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</si>
  <si>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</si>
  <si>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</si>
  <si>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</si>
  <si>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</si>
  <si>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</si>
  <si>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</si>
  <si>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</si>
  <si>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</si>
  <si>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</si>
  <si>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</si>
  <si>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</si>
  <si>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</si>
  <si>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</si>
  <si>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</si>
  <si>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</si>
  <si>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</si>
  <si>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</si>
  <si>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</si>
  <si>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</si>
  <si>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</si>
  <si>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</si>
  <si>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</si>
  <si>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</si>
  <si>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</si>
  <si>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</si>
  <si>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</si>
  <si>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</si>
  <si>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</si>
  <si>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</si>
  <si>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</si>
  <si>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</si>
  <si>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</si>
  <si>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</si>
  <si>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</si>
  <si>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</si>
  <si>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</si>
  <si>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</si>
  <si>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</si>
  <si>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</si>
  <si>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</si>
  <si>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</si>
  <si>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</si>
  <si>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</si>
  <si>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</si>
  <si>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</si>
  <si>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</si>
  <si>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</si>
  <si>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</si>
  <si>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</si>
  <si>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</si>
  <si>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</si>
  <si>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</si>
  <si>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</si>
  <si>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</si>
  <si>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</si>
  <si>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</si>
  <si>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</si>
  <si>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</si>
  <si>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</si>
  <si>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</si>
  <si>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</si>
  <si>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</si>
  <si>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</si>
  <si>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</si>
  <si>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</si>
  <si>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</si>
  <si>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</si>
  <si>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</si>
  <si>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</si>
  <si>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</si>
  <si>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</si>
  <si>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</si>
  <si>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</si>
  <si>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</si>
  <si>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</si>
  <si>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</si>
  <si>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</si>
  <si>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</si>
  <si>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</si>
  <si>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</si>
  <si>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</si>
  <si>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</si>
  <si>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</si>
  <si>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</si>
  <si>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</si>
  <si>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</si>
  <si>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</si>
  <si>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</si>
  <si>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</si>
  <si>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</si>
  <si>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</si>
  <si>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</si>
  <si>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</si>
  <si>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</si>
  <si>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</si>
  <si>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</si>
  <si>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</si>
  <si>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</si>
  <si>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</si>
  <si>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</si>
  <si>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</si>
  <si>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</si>
  <si>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</si>
  <si>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</si>
  <si>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</si>
  <si>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</si>
  <si>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</si>
  <si>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</si>
  <si>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</si>
  <si>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</si>
  <si>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</si>
  <si>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</si>
  <si>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</si>
  <si>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</si>
  <si>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</si>
  <si>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</si>
  <si>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</si>
  <si>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</si>
  <si>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</si>
  <si>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</si>
  <si>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</si>
  <si>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</si>
  <si>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</si>
  <si>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</si>
  <si>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</si>
  <si>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</si>
  <si>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</si>
  <si>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</si>
  <si>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</si>
  <si>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</si>
  <si>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</si>
  <si>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</si>
  <si>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</si>
  <si>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</si>
  <si>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</si>
  <si>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</si>
  <si>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</si>
  <si>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</si>
  <si>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</si>
  <si>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</si>
  <si>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</si>
  <si>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</si>
  <si>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</si>
  <si>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</si>
  <si>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</si>
  <si>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</si>
  <si>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</si>
  <si>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</si>
  <si>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</si>
  <si>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</si>
  <si>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</si>
  <si>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</si>
  <si>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</si>
  <si>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</si>
  <si>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</si>
  <si>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</si>
  <si>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</si>
  <si>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</si>
  <si>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</si>
  <si>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</si>
  <si>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</si>
  <si>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</si>
  <si>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</si>
  <si>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</si>
  <si>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</si>
  <si>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</si>
  <si>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</si>
  <si>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</si>
  <si>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</si>
  <si>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</si>
  <si>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</si>
  <si>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</si>
  <si>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</si>
  <si>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</si>
  <si>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</si>
  <si>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</si>
  <si>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</si>
  <si>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</si>
  <si>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</si>
  <si>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</si>
  <si>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</si>
  <si>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</si>
  <si>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</si>
  <si>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</si>
  <si>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</si>
  <si>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</si>
  <si>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</si>
  <si>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</si>
  <si>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</si>
  <si>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</si>
  <si>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</si>
  <si>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</si>
  <si>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</si>
  <si>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</si>
  <si>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</si>
  <si>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</si>
  <si>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</si>
  <si>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</si>
  <si>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</si>
  <si>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</si>
  <si>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</si>
  <si>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</si>
  <si>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</si>
  <si>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</si>
  <si>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</si>
  <si>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</si>
  <si>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</si>
  <si>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</si>
  <si>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</si>
  <si>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</si>
  <si>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</si>
  <si>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</si>
  <si>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</si>
  <si>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</si>
  <si>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</si>
  <si>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</si>
  <si>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</si>
  <si>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</si>
  <si>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</si>
  <si>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</si>
  <si>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</si>
  <si>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</si>
  <si>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</si>
  <si>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</si>
  <si>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</si>
  <si>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</si>
  <si>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</si>
  <si>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</si>
  <si>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</si>
  <si>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</si>
  <si>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</si>
  <si>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</si>
  <si>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</si>
  <si>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</si>
  <si>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</si>
  <si>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</si>
  <si>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</si>
  <si>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</si>
  <si>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</si>
  <si>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</si>
  <si>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</si>
  <si>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</si>
  <si>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</si>
  <si>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</si>
  <si>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</si>
  <si>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</si>
  <si>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</si>
  <si>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</si>
  <si>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</si>
  <si>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</si>
  <si>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</si>
  <si>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</si>
  <si>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</si>
  <si>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</si>
  <si>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</si>
  <si>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</si>
  <si>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</si>
  <si>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</si>
  <si>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</si>
  <si>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</si>
  <si>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</si>
  <si>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</si>
  <si>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</si>
  <si>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</si>
  <si>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</si>
  <si>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</si>
  <si>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</si>
  <si>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</si>
  <si>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</si>
  <si>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</si>
  <si>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</si>
  <si>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</si>
  <si>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</si>
  <si>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</si>
  <si>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</si>
  <si>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</si>
  <si>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</si>
  <si>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</si>
  <si>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</si>
  <si>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</si>
  <si>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</si>
  <si>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</si>
  <si>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</si>
  <si>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</si>
  <si>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</si>
  <si>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</si>
  <si>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</si>
  <si>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</si>
  <si>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</si>
  <si>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</si>
  <si>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</si>
  <si>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</si>
  <si>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</si>
  <si>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</si>
  <si>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</si>
  <si>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</si>
  <si>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</si>
  <si>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</si>
  <si>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</si>
  <si>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</si>
  <si>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</si>
  <si>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</si>
  <si>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KEENE SCHOOL DISTRICT</t>
  </si>
  <si>
    <t>07/99</t>
  </si>
  <si>
    <t>08/19</t>
  </si>
  <si>
    <t>08/02</t>
  </si>
  <si>
    <t>08/12</t>
  </si>
  <si>
    <t>08/06</t>
  </si>
  <si>
    <t>08/16</t>
  </si>
  <si>
    <t>07/10</t>
  </si>
  <si>
    <t>08/39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</si>
</sst>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279</v>
      </c>
      <c r="C2" s="21">
        <v>279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3807386.61+1000-1036515.07</f>
        <v>2771871.54</v>
      </c>
      <c r="G9" s="18">
        <f>214967.98+300</f>
        <v>215267.98</v>
      </c>
      <c r="H9" s="18">
        <f>225732.16+310.89</f>
        <v>226043.05000000002</v>
      </c>
      <c r="I9" s="18">
        <v>2978870.97</v>
      </c>
      <c r="J9" s="67">
        <f>SUM(I438)</f>
        <v>856695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470824.44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180379.47</v>
      </c>
      <c r="G13" s="18"/>
      <c r="H13" s="18">
        <f>472934.46+22145.13+7786</f>
        <v>502865.59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12180.26</v>
      </c>
      <c r="G14" s="18">
        <v>7136.79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1968</v>
      </c>
      <c r="G17" s="18"/>
      <c r="H17" s="18">
        <f>21840+1300</f>
        <v>23140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3437223.71</v>
      </c>
      <c r="G19" s="41">
        <f>SUM(G9:G18)</f>
        <v>222404.77000000002</v>
      </c>
      <c r="H19" s="41">
        <f>SUM(H9:H18)</f>
        <v>752048.64000000001</v>
      </c>
      <c r="I19" s="41">
        <f>SUM(I9:I18)</f>
        <v>2978870.97</v>
      </c>
      <c r="J19" s="41">
        <f>SUM(J9:J18)</f>
        <v>856695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457741.28+13083.16</f>
        <v>470824.44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7996.72</v>
      </c>
      <c r="G23" s="18"/>
      <c r="H23" s="18">
        <v>1905.43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220422.08</v>
      </c>
      <c r="G24" s="18">
        <v>44.28</v>
      </c>
      <c r="H24" s="18">
        <f>12594.86+782.05</f>
        <v>13376.91</v>
      </c>
      <c r="I24" s="18">
        <v>267250.25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50000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75166.37</v>
      </c>
      <c r="G28" s="18">
        <v>945.09</v>
      </c>
      <c r="H28" s="18">
        <f>692.89+1605.65</f>
        <v>2298.54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181.4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3973</v>
      </c>
      <c r="G30" s="18">
        <v>19098.189999999999</v>
      </c>
      <c r="H30" s="18">
        <f>30901.97+69899</f>
        <v>100800.97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307739.57</v>
      </c>
      <c r="G32" s="41">
        <f>SUM(G22:G31)</f>
        <v>20087.559999999998</v>
      </c>
      <c r="H32" s="41">
        <f>SUM(H22:H31)</f>
        <v>589206.28999999992</v>
      </c>
      <c r="I32" s="41">
        <f>SUM(I22:I31)</f>
        <v>317250.25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1968</v>
      </c>
      <c r="G36" s="18"/>
      <c r="H36" s="18">
        <v>1300</v>
      </c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202317.21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2407262.36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160264.85</v>
      </c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856695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418091.73</v>
      </c>
      <c r="G48" s="18"/>
      <c r="H48" s="18">
        <v>1277.5</v>
      </c>
      <c r="I48" s="18">
        <v>254358.36</v>
      </c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2609424.41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3129484.14</v>
      </c>
      <c r="G50" s="41">
        <f>SUM(G35:G49)</f>
        <v>202317.21</v>
      </c>
      <c r="H50" s="41">
        <f>SUM(H35:H49)</f>
        <v>162842.35</v>
      </c>
      <c r="I50" s="41">
        <f>SUM(I35:I49)</f>
        <v>2661620.7199999997</v>
      </c>
      <c r="J50" s="41">
        <f>SUM(J35:J49)</f>
        <v>856695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3437223.71</v>
      </c>
      <c r="G51" s="41">
        <f>G50+G32</f>
        <v>222404.77</v>
      </c>
      <c r="H51" s="41">
        <f>H50+H32</f>
        <v>752048.6399999999</v>
      </c>
      <c r="I51" s="41">
        <f>I50+I32</f>
        <v>2978870.9699999997</v>
      </c>
      <c r="J51" s="41">
        <f>J50+J32</f>
        <v>856695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24785466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24785466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56409.599999999999</v>
      </c>
      <c r="G62" s="24" t="s">
        <v>289</v>
      </c>
      <c r="H62" s="18">
        <v>131468.25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11154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214301.99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97217.94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6730740.1900000004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3784079.13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59269.13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10630498.050000001</v>
      </c>
      <c r="G78" s="45" t="s">
        <v>289</v>
      </c>
      <c r="H78" s="41">
        <f>SUM(H62:H77)</f>
        <v>454142.18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7050.5</v>
      </c>
      <c r="G95" s="18">
        <v>198.83</v>
      </c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316353.55+40627.8+482364.62+34311.3+17182.56</f>
        <v>890839.83000000007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64068.66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78958.52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>
        <v>4580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32460.28</v>
      </c>
      <c r="G104" s="18"/>
      <c r="H104" s="18">
        <v>69515.92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7053.15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108957.02+75392.93</f>
        <v>184349.95</v>
      </c>
      <c r="G109" s="18">
        <v>18135</v>
      </c>
      <c r="H109" s="18"/>
      <c r="I109" s="18">
        <v>85620</v>
      </c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294982.54000000004</v>
      </c>
      <c r="G110" s="41">
        <f>SUM(G95:G109)</f>
        <v>909173.66</v>
      </c>
      <c r="H110" s="41">
        <f>SUM(H95:H109)</f>
        <v>153054.44</v>
      </c>
      <c r="I110" s="41">
        <f>SUM(I95:I109)</f>
        <v>85620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35710946.589999996</v>
      </c>
      <c r="G111" s="41">
        <f>G59+G110</f>
        <v>909173.66</v>
      </c>
      <c r="H111" s="41">
        <f>H59+H78+H93+H110</f>
        <v>607196.62</v>
      </c>
      <c r="I111" s="41">
        <f>I59+I110</f>
        <v>85620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10543634.640000001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4298528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9135.36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46017.99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14897315.99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2194360.04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451377.17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123250.89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11728.46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2768988.1</v>
      </c>
      <c r="G135" s="41">
        <f>SUM(G122:G134)</f>
        <v>11728.46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17666304.09</v>
      </c>
      <c r="G139" s="41">
        <f>G120+SUM(G135:G136)</f>
        <v>11728.46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597390.75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289265.14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200027.33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174366.74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583455.47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982916.86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417498.02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318733.67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736231.69</v>
      </c>
      <c r="G161" s="41">
        <f>SUM(G149:G160)</f>
        <v>583455.47</v>
      </c>
      <c r="H161" s="41">
        <f>SUM(H149:H160)</f>
        <v>2243966.8199999998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736231.69</v>
      </c>
      <c r="G168" s="41">
        <f>G146+G161+SUM(G162:G167)</f>
        <v>583455.47</v>
      </c>
      <c r="H168" s="41">
        <f>H146+H161+SUM(H162:H167)</f>
        <v>2243966.8199999998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>
        <v>66575.05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66575.05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1976.48</v>
      </c>
      <c r="H178" s="18"/>
      <c r="I178" s="18">
        <v>423250</v>
      </c>
      <c r="J178" s="18">
        <v>750000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180900.81</v>
      </c>
      <c r="G181" s="18"/>
      <c r="H181" s="18"/>
      <c r="I181" s="24" t="s">
        <v>289</v>
      </c>
      <c r="J181" s="18">
        <v>6695</v>
      </c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180900.81</v>
      </c>
      <c r="G182" s="41">
        <f>SUM(G178:G181)</f>
        <v>1976.48</v>
      </c>
      <c r="H182" s="41">
        <f>SUM(H178:H181)</f>
        <v>0</v>
      </c>
      <c r="I182" s="41">
        <f>SUM(I178:I181)</f>
        <v>423250</v>
      </c>
      <c r="J182" s="41">
        <f>SUM(J178:J181)</f>
        <v>756695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1296000</v>
      </c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1476900.81</v>
      </c>
      <c r="G191" s="41">
        <f>G182+SUM(G187:G190)</f>
        <v>1976.48</v>
      </c>
      <c r="H191" s="41">
        <f>+H182+SUM(H187:H190)</f>
        <v>0</v>
      </c>
      <c r="I191" s="41">
        <f>I176+I182+SUM(I187:I190)</f>
        <v>489825.05</v>
      </c>
      <c r="J191" s="41">
        <f>J182</f>
        <v>756695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55590383.179999992</v>
      </c>
      <c r="G192" s="47">
        <f>G111+G139+G168+G191</f>
        <v>1506334.0699999998</v>
      </c>
      <c r="H192" s="47">
        <f>H111+H139+H168+H191</f>
        <v>2851163.44</v>
      </c>
      <c r="I192" s="47">
        <f>I111+I139+I168+I191</f>
        <v>575445.05000000005</v>
      </c>
      <c r="J192" s="47">
        <f>J111+J139+J191</f>
        <v>756695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5410578.7400000002</v>
      </c>
      <c r="G196" s="18">
        <v>2250833</v>
      </c>
      <c r="H196" s="18">
        <v>11031.23</v>
      </c>
      <c r="I196" s="18">
        <v>207020.98</v>
      </c>
      <c r="J196" s="18">
        <v>46394.720000000001</v>
      </c>
      <c r="K196" s="18">
        <v>15214.22</v>
      </c>
      <c r="L196" s="19">
        <f>SUM(F196:K196)</f>
        <v>7941072.8900000006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2716367.49+116045.62</f>
        <v>2832413.1100000003</v>
      </c>
      <c r="G197" s="18">
        <f>1011580.06+45788.76</f>
        <v>1057368.82</v>
      </c>
      <c r="H197" s="18">
        <f>491187.88+220.18</f>
        <v>491408.06</v>
      </c>
      <c r="I197" s="18">
        <f>21172.03+219.17</f>
        <v>21391.199999999997</v>
      </c>
      <c r="J197" s="18">
        <f>7437.27+1525</f>
        <v>8962.27</v>
      </c>
      <c r="K197" s="18">
        <f>100+4104.89</f>
        <v>4204.8900000000003</v>
      </c>
      <c r="L197" s="19">
        <f>SUM(F197:K197)</f>
        <v>4415748.3499999996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8431</v>
      </c>
      <c r="G199" s="18">
        <v>1597.09</v>
      </c>
      <c r="H199" s="18"/>
      <c r="I199" s="18"/>
      <c r="J199" s="18"/>
      <c r="K199" s="18"/>
      <c r="L199" s="19">
        <f>SUM(F199:K199)</f>
        <v>10028.09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7538.45+301392.05+183179.91+278930.57+597282.89+169137.75</f>
        <v>1537461.62</v>
      </c>
      <c r="G201" s="18">
        <f>603.29+137841.96+72434.8+106602.06+242942.07</f>
        <v>560424.17999999993</v>
      </c>
      <c r="H201" s="18">
        <f>8643.5+1180.26+34681+2046.46+63450+41397.75</f>
        <v>151398.97</v>
      </c>
      <c r="I201" s="18">
        <f>2646.47+3086.24+2548.75+424.59+2892.62+1293.6</f>
        <v>12892.269999999999</v>
      </c>
      <c r="J201" s="18">
        <v>269.95</v>
      </c>
      <c r="K201" s="18"/>
      <c r="L201" s="19">
        <f t="shared" ref="L201:L207" si="0">SUM(F201:K201)</f>
        <v>2262446.9900000002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6150+3600+150+268221.85</f>
        <v>278121.84999999998</v>
      </c>
      <c r="G202" s="18">
        <f>94542.52+1186.97+682.2+27218.42+135704.63</f>
        <v>259334.74</v>
      </c>
      <c r="H202" s="18">
        <f>44643.84+22347.63</f>
        <v>66991.47</v>
      </c>
      <c r="I202" s="18">
        <f>12431.2+25733.44+13115.19</f>
        <v>51279.83</v>
      </c>
      <c r="J202" s="18">
        <v>13025.15</v>
      </c>
      <c r="K202" s="18"/>
      <c r="L202" s="19">
        <f t="shared" si="0"/>
        <v>668753.03999999992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6188.68+500+1925+2100+169182.97</f>
        <v>179896.65</v>
      </c>
      <c r="G203" s="18">
        <f>27152.03+499.53+40+154+167.94+66883.17+12949.94</f>
        <v>107846.61</v>
      </c>
      <c r="H203" s="18">
        <f>33261.77+6230+34184.78+481324+3016.94</f>
        <v>558017.49</v>
      </c>
      <c r="I203" s="18">
        <f>10379.85+1880.88</f>
        <v>12260.73</v>
      </c>
      <c r="J203" s="18">
        <v>1114.05</v>
      </c>
      <c r="K203" s="18">
        <f>7925.24+7319.61</f>
        <v>15244.849999999999</v>
      </c>
      <c r="L203" s="19">
        <f t="shared" si="0"/>
        <v>874380.38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812754.42</f>
        <v>812754.42</v>
      </c>
      <c r="G204" s="18">
        <v>262434.15999999997</v>
      </c>
      <c r="H204" s="18">
        <v>31824.2</v>
      </c>
      <c r="I204" s="18">
        <v>6771.07</v>
      </c>
      <c r="J204" s="18"/>
      <c r="K204" s="18">
        <v>3259</v>
      </c>
      <c r="L204" s="19">
        <f t="shared" si="0"/>
        <v>1117042.8500000001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8736</v>
      </c>
      <c r="I205" s="18"/>
      <c r="J205" s="18"/>
      <c r="K205" s="18">
        <v>618.79999999999995</v>
      </c>
      <c r="L205" s="19">
        <f t="shared" si="0"/>
        <v>9354.7999999999993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505682.01</v>
      </c>
      <c r="G206" s="18">
        <v>250708.58</v>
      </c>
      <c r="H206" s="18">
        <f>278873.89+24739.5+29975</f>
        <v>333588.39</v>
      </c>
      <c r="I206" s="18">
        <v>423117.47</v>
      </c>
      <c r="J206" s="18">
        <v>16548.509999999998</v>
      </c>
      <c r="K206" s="18">
        <v>951.5</v>
      </c>
      <c r="L206" s="19">
        <f t="shared" si="0"/>
        <v>1530596.46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286060+416206.32+19711.43</f>
        <v>721977.75000000012</v>
      </c>
      <c r="I207" s="18"/>
      <c r="J207" s="18"/>
      <c r="K207" s="18"/>
      <c r="L207" s="19">
        <f t="shared" si="0"/>
        <v>721977.75000000012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14222.62+122334.8</f>
        <v>136557.42000000001</v>
      </c>
      <c r="G208" s="18">
        <f>8316.73+49395.13</f>
        <v>57711.86</v>
      </c>
      <c r="H208" s="18">
        <f>3396.51+3700.67+27999.58</f>
        <v>35096.76</v>
      </c>
      <c r="I208" s="18">
        <f>96.78+50595.68</f>
        <v>50692.46</v>
      </c>
      <c r="J208" s="18">
        <v>109803.45</v>
      </c>
      <c r="K208" s="18"/>
      <c r="L208" s="19">
        <f>SUM(F208:K208)</f>
        <v>389861.95000000007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11701896.82</v>
      </c>
      <c r="G210" s="41">
        <f t="shared" si="1"/>
        <v>4808259.040000001</v>
      </c>
      <c r="H210" s="41">
        <f t="shared" si="1"/>
        <v>2410070.3199999998</v>
      </c>
      <c r="I210" s="41">
        <f t="shared" si="1"/>
        <v>785426.00999999989</v>
      </c>
      <c r="J210" s="41">
        <f t="shared" si="1"/>
        <v>196118.09999999998</v>
      </c>
      <c r="K210" s="41">
        <f t="shared" si="1"/>
        <v>39493.26</v>
      </c>
      <c r="L210" s="41">
        <f t="shared" si="1"/>
        <v>19941263.550000001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2845402.27</v>
      </c>
      <c r="G214" s="18">
        <v>1174799.27</v>
      </c>
      <c r="H214" s="18">
        <v>4902.25</v>
      </c>
      <c r="I214" s="18">
        <v>80833.5</v>
      </c>
      <c r="J214" s="18">
        <v>20132.07</v>
      </c>
      <c r="K214" s="18">
        <v>6132.84</v>
      </c>
      <c r="L214" s="19">
        <f>SUM(F214:K214)</f>
        <v>4132202.1999999997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1063166.3999999999</v>
      </c>
      <c r="G215" s="18">
        <v>487168.5</v>
      </c>
      <c r="H215" s="18">
        <v>773956.26</v>
      </c>
      <c r="I215" s="18">
        <v>6801.05</v>
      </c>
      <c r="J215" s="18">
        <v>712.48</v>
      </c>
      <c r="K215" s="18">
        <v>2021.8</v>
      </c>
      <c r="L215" s="19">
        <f>SUM(F215:K215)</f>
        <v>2333826.4899999998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43719+28423.06+4400+3698.5</f>
        <v>80240.56</v>
      </c>
      <c r="G217" s="18">
        <f>7277.51+4800.15+907.53+706.64</f>
        <v>13691.83</v>
      </c>
      <c r="H217" s="18">
        <f>4200+7320</f>
        <v>11520</v>
      </c>
      <c r="I217" s="18">
        <f>5501.78+9914.76</f>
        <v>15416.54</v>
      </c>
      <c r="J217" s="18"/>
      <c r="K217" s="18">
        <f>240+1999</f>
        <v>2239</v>
      </c>
      <c r="L217" s="19">
        <f>SUM(F217:K217)</f>
        <v>123107.93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3661.55+178200+67385.43+121398.28+26045.5+20272.12+83560.11</f>
        <v>500522.99</v>
      </c>
      <c r="G219" s="18">
        <f>292.93+89236.51+30156+55181.64+10672.59+11201.1+42345.61</f>
        <v>239086.38</v>
      </c>
      <c r="H219" s="18">
        <f>9002.5+32850+4500+5175</f>
        <v>51527.5</v>
      </c>
      <c r="I219" s="18">
        <f>440.57+1966.77+2315.98+287.69</f>
        <v>5011.0099999999993</v>
      </c>
      <c r="J219" s="18">
        <v>183.9</v>
      </c>
      <c r="K219" s="18">
        <f>120+135</f>
        <v>255</v>
      </c>
      <c r="L219" s="19">
        <f t="shared" ref="L219:L225" si="2">SUM(F219:K219)</f>
        <v>796586.78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1400+1400+6396+111167.52</f>
        <v>120363.52</v>
      </c>
      <c r="G220" s="18">
        <f>270.22+265.3+14454.52+55340.24</f>
        <v>70330.28</v>
      </c>
      <c r="H220" s="18">
        <f>11667.77+2221.74</f>
        <v>13889.51</v>
      </c>
      <c r="I220" s="18">
        <f>15543.41+4086.38+1525</f>
        <v>21154.79</v>
      </c>
      <c r="J220" s="18">
        <v>2446.64</v>
      </c>
      <c r="K220" s="18">
        <f>2563+349</f>
        <v>2912</v>
      </c>
      <c r="L220" s="19">
        <f t="shared" si="2"/>
        <v>231096.74000000002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3004.26+935+1020+90507.82</f>
        <v>95467.08</v>
      </c>
      <c r="G221" s="18">
        <f>12454.18+242.67+74.82+81.66+35790.73+6289.99</f>
        <v>54934.05</v>
      </c>
      <c r="H221" s="18">
        <f>3025+16145.34+233786</f>
        <v>252956.34</v>
      </c>
      <c r="I221" s="18">
        <f>3473.08</f>
        <v>3473.08</v>
      </c>
      <c r="J221" s="18"/>
      <c r="K221" s="18">
        <f>3859.57+4980.55</f>
        <v>8840.1200000000008</v>
      </c>
      <c r="L221" s="19">
        <f t="shared" si="2"/>
        <v>415670.67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447003.88</v>
      </c>
      <c r="G222" s="18">
        <v>170214.77</v>
      </c>
      <c r="H222" s="18">
        <f>27644.48+500.28</f>
        <v>28144.76</v>
      </c>
      <c r="I222" s="18">
        <v>661.97</v>
      </c>
      <c r="J222" s="18"/>
      <c r="K222" s="18">
        <v>2758</v>
      </c>
      <c r="L222" s="19">
        <f t="shared" si="2"/>
        <v>648783.38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>
        <v>4243.2</v>
      </c>
      <c r="I223" s="18"/>
      <c r="J223" s="18"/>
      <c r="K223" s="18"/>
      <c r="L223" s="19">
        <f t="shared" si="2"/>
        <v>4243.2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267282.59999999998</v>
      </c>
      <c r="G224" s="18">
        <v>116516.5</v>
      </c>
      <c r="H224" s="18">
        <v>99006.94</v>
      </c>
      <c r="I224" s="18">
        <v>240510.58</v>
      </c>
      <c r="J224" s="18">
        <v>7114.2</v>
      </c>
      <c r="K224" s="18">
        <v>150</v>
      </c>
      <c r="L224" s="19">
        <f t="shared" si="2"/>
        <v>730580.82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5666.88</v>
      </c>
      <c r="G225" s="18">
        <v>689.96</v>
      </c>
      <c r="H225" s="18">
        <f>138943+156137.59+16960.21+7624</f>
        <v>319664.8</v>
      </c>
      <c r="I225" s="18"/>
      <c r="J225" s="18"/>
      <c r="K225" s="18"/>
      <c r="L225" s="19">
        <f t="shared" si="2"/>
        <v>326021.64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6908.15+61684.2</f>
        <v>68592.349999999991</v>
      </c>
      <c r="G226" s="18">
        <f>4039.43+31097.08</f>
        <v>35136.51</v>
      </c>
      <c r="H226" s="18">
        <f>1648.84+2230.99+16468.37</f>
        <v>20348.199999999997</v>
      </c>
      <c r="I226" s="18">
        <f>47.01+23326.77</f>
        <v>23373.78</v>
      </c>
      <c r="J226" s="18">
        <v>58805.91</v>
      </c>
      <c r="K226" s="18"/>
      <c r="L226" s="19">
        <f>SUM(F226:K226)</f>
        <v>206256.74999999997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5493708.5299999984</v>
      </c>
      <c r="G228" s="41">
        <f>SUM(G214:G227)</f>
        <v>2362568.0499999998</v>
      </c>
      <c r="H228" s="41">
        <f>SUM(H214:H227)</f>
        <v>1580159.76</v>
      </c>
      <c r="I228" s="41">
        <f>SUM(I214:I227)</f>
        <v>397236.29999999993</v>
      </c>
      <c r="J228" s="41">
        <f>SUM(J214:J227)</f>
        <v>89395.200000000012</v>
      </c>
      <c r="K228" s="41">
        <f t="shared" si="3"/>
        <v>25308.760000000002</v>
      </c>
      <c r="L228" s="41">
        <f t="shared" si="3"/>
        <v>9948376.5999999996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5699742.8099999996</v>
      </c>
      <c r="G232" s="18">
        <v>2425725</v>
      </c>
      <c r="H232" s="18">
        <v>43126.11</v>
      </c>
      <c r="I232" s="18">
        <v>242269.65</v>
      </c>
      <c r="J232" s="18">
        <v>53509.75</v>
      </c>
      <c r="K232" s="18">
        <v>2883.8</v>
      </c>
      <c r="L232" s="19">
        <f>SUM(F232:K232)</f>
        <v>8467257.120000001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1601382.24</v>
      </c>
      <c r="G233" s="18">
        <v>758929.56</v>
      </c>
      <c r="H233" s="18">
        <v>668410.6</v>
      </c>
      <c r="I233" s="18">
        <v>11811.28</v>
      </c>
      <c r="J233" s="18">
        <v>4268.07</v>
      </c>
      <c r="K233" s="18"/>
      <c r="L233" s="19">
        <f>SUM(F233:K233)</f>
        <v>3044801.7499999995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800940.8</v>
      </c>
      <c r="G234" s="18">
        <v>378425.4</v>
      </c>
      <c r="H234" s="18">
        <v>14914.9</v>
      </c>
      <c r="I234" s="18">
        <v>45306.86</v>
      </c>
      <c r="J234" s="18">
        <v>7907.29</v>
      </c>
      <c r="K234" s="18">
        <v>285</v>
      </c>
      <c r="L234" s="19">
        <f>SUM(F234:K234)</f>
        <v>1247780.2500000002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61248.66+248314.43+1500</f>
        <v>311063.08999999997</v>
      </c>
      <c r="G235" s="18">
        <f>10936.97+51115.85+289.5</f>
        <v>62342.32</v>
      </c>
      <c r="H235" s="18">
        <f>8103.41+91053.25</f>
        <v>99156.66</v>
      </c>
      <c r="I235" s="18">
        <f>2691.88+16913.19</f>
        <v>19605.07</v>
      </c>
      <c r="J235" s="18">
        <v>27046.89</v>
      </c>
      <c r="K235" s="18">
        <v>6462</v>
      </c>
      <c r="L235" s="19">
        <f>SUM(F235:K235)</f>
        <v>525676.03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10338.61+500555.16+134120.86+70200.26+31520.89+190337.79</f>
        <v>937073.57</v>
      </c>
      <c r="G237" s="18">
        <f>826.83+229983.55+66804.5+20948.2+10445.1+74014.31</f>
        <v>403022.49</v>
      </c>
      <c r="H237" s="18">
        <f>9204.3+614+19026.68+6625+70103.71+414268.81</f>
        <v>519842.5</v>
      </c>
      <c r="I237" s="18">
        <f>482.18+3791.54+963.4+392.92</f>
        <v>5630.04</v>
      </c>
      <c r="J237" s="18">
        <v>1343.13</v>
      </c>
      <c r="K237" s="18">
        <f>150+70</f>
        <v>220</v>
      </c>
      <c r="L237" s="19">
        <f t="shared" ref="L237:L243" si="4">SUM(F237:K237)</f>
        <v>1867131.73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4660+3700+3185+110991.93</f>
        <v>122536.93</v>
      </c>
      <c r="G238" s="18">
        <f>890.44+705.08+37958.62+76318.46</f>
        <v>115872.6</v>
      </c>
      <c r="H238" s="18">
        <f>27032.68+1296.06</f>
        <v>28328.74</v>
      </c>
      <c r="I238" s="18">
        <f>60129.05+72.17</f>
        <v>60201.22</v>
      </c>
      <c r="J238" s="18">
        <v>6255.22</v>
      </c>
      <c r="K238" s="18">
        <f>2889.6+230</f>
        <v>3119.6</v>
      </c>
      <c r="L238" s="19">
        <f t="shared" si="4"/>
        <v>336314.30999999994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8484.5+2640+2880+152770.75</f>
        <v>166775.25</v>
      </c>
      <c r="G239" s="18">
        <f>40544.09+685.15+211.2+230.4+60837.55+17759.93</f>
        <v>120268.32</v>
      </c>
      <c r="H239" s="18">
        <f>8545+52223.19+660104</f>
        <v>720872.19</v>
      </c>
      <c r="I239" s="18">
        <f>9502.59</f>
        <v>9502.59</v>
      </c>
      <c r="J239" s="18"/>
      <c r="K239" s="18">
        <f>10878.86+9779.63</f>
        <v>20658.489999999998</v>
      </c>
      <c r="L239" s="19">
        <f t="shared" si="4"/>
        <v>1038076.84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843311.23</v>
      </c>
      <c r="G240" s="18">
        <v>325244.49</v>
      </c>
      <c r="H240" s="18">
        <f>69925.07</f>
        <v>69925.070000000007</v>
      </c>
      <c r="I240" s="18">
        <f>23729.85+13089.18</f>
        <v>36819.03</v>
      </c>
      <c r="J240" s="18">
        <v>18870.05</v>
      </c>
      <c r="K240" s="18">
        <v>9225.8700000000008</v>
      </c>
      <c r="L240" s="19">
        <f t="shared" si="4"/>
        <v>1303395.7400000002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v>11980.8</v>
      </c>
      <c r="I241" s="18"/>
      <c r="J241" s="18"/>
      <c r="K241" s="18">
        <v>6750</v>
      </c>
      <c r="L241" s="19">
        <f t="shared" si="4"/>
        <v>18730.8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600643.95+102961.39+1870.54+3082.75</f>
        <v>708558.63</v>
      </c>
      <c r="G242" s="18">
        <f>268555.85+68866.67+179.54+574.61</f>
        <v>338176.66999999993</v>
      </c>
      <c r="H242" s="18">
        <f>316842.22+46540.82+69350+1890.75+43678.12</f>
        <v>478301.91</v>
      </c>
      <c r="I242" s="18">
        <f>760596.82+28758.3</f>
        <v>789355.12</v>
      </c>
      <c r="J242" s="18">
        <f>18119.66+6713.77</f>
        <v>24833.43</v>
      </c>
      <c r="K242" s="18">
        <v>539.99</v>
      </c>
      <c r="L242" s="19">
        <f t="shared" si="4"/>
        <v>2339765.7500000005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392311+140624.5+1125.48+129457.59+14956.51</f>
        <v>678475.08</v>
      </c>
      <c r="I243" s="18"/>
      <c r="J243" s="18"/>
      <c r="K243" s="18"/>
      <c r="L243" s="19">
        <f t="shared" si="4"/>
        <v>678475.08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19505.34+64177.5</f>
        <v>83682.84</v>
      </c>
      <c r="G244" s="18">
        <f>11405.66+31513.58</f>
        <v>42919.240000000005</v>
      </c>
      <c r="H244" s="18">
        <f>4658.21+5766.34+38731.96</f>
        <v>49156.509999999995</v>
      </c>
      <c r="I244" s="18">
        <f>141.88+66064.24</f>
        <v>66206.12000000001</v>
      </c>
      <c r="J244" s="18">
        <v>174550.69</v>
      </c>
      <c r="K244" s="18"/>
      <c r="L244" s="19">
        <f>SUM(F244:K244)</f>
        <v>416515.4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11275067.390000001</v>
      </c>
      <c r="G246" s="41">
        <f t="shared" si="5"/>
        <v>4970926.09</v>
      </c>
      <c r="H246" s="41">
        <f t="shared" si="5"/>
        <v>3382491.07</v>
      </c>
      <c r="I246" s="41">
        <f t="shared" si="5"/>
        <v>1286706.98</v>
      </c>
      <c r="J246" s="41">
        <f t="shared" si="5"/>
        <v>318584.52</v>
      </c>
      <c r="K246" s="41">
        <f t="shared" si="5"/>
        <v>50144.75</v>
      </c>
      <c r="L246" s="41">
        <f t="shared" si="5"/>
        <v>21283920.800000001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>
        <v>3650.68</v>
      </c>
      <c r="L254" s="19">
        <f t="shared" si="6"/>
        <v>3650.68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3650.68</v>
      </c>
      <c r="L255" s="41">
        <f>SUM(F255:K255)</f>
        <v>3650.68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28470672.739999998</v>
      </c>
      <c r="G256" s="41">
        <f t="shared" si="8"/>
        <v>12141753.18</v>
      </c>
      <c r="H256" s="41">
        <f t="shared" si="8"/>
        <v>7372721.1500000004</v>
      </c>
      <c r="I256" s="41">
        <f t="shared" si="8"/>
        <v>2469369.29</v>
      </c>
      <c r="J256" s="41">
        <f t="shared" si="8"/>
        <v>604097.82000000007</v>
      </c>
      <c r="K256" s="41">
        <f t="shared" si="8"/>
        <v>118597.45</v>
      </c>
      <c r="L256" s="41">
        <f t="shared" si="8"/>
        <v>51177211.630000003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3383704.94</v>
      </c>
      <c r="L259" s="19">
        <f>SUM(F259:K259)</f>
        <v>3383704.94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556415.06000000006</v>
      </c>
      <c r="L260" s="19">
        <f>SUM(F260:K260)</f>
        <v>556415.06000000006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396.78+1579.7</f>
        <v>1976.48</v>
      </c>
      <c r="L262" s="19">
        <f>SUM(F262:K262)</f>
        <v>1976.48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423250</v>
      </c>
      <c r="L264" s="19">
        <f t="shared" si="9"/>
        <v>423250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750000</v>
      </c>
      <c r="L265" s="19">
        <f t="shared" si="9"/>
        <v>750000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5115346.4800000004</v>
      </c>
      <c r="L269" s="41">
        <f t="shared" si="9"/>
        <v>5115346.4800000004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28470672.739999998</v>
      </c>
      <c r="G270" s="42">
        <f t="shared" si="11"/>
        <v>12141753.18</v>
      </c>
      <c r="H270" s="42">
        <f t="shared" si="11"/>
        <v>7372721.1500000004</v>
      </c>
      <c r="I270" s="42">
        <f t="shared" si="11"/>
        <v>2469369.29</v>
      </c>
      <c r="J270" s="42">
        <f t="shared" si="11"/>
        <v>604097.82000000007</v>
      </c>
      <c r="K270" s="42">
        <f t="shared" si="11"/>
        <v>5233943.9300000006</v>
      </c>
      <c r="L270" s="42">
        <f t="shared" si="11"/>
        <v>56292558.109999999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394460.54</v>
      </c>
      <c r="G275" s="18">
        <v>173015.94</v>
      </c>
      <c r="H275" s="18">
        <f>1251.07+9690.22</f>
        <v>10941.289999999999</v>
      </c>
      <c r="I275" s="18">
        <f>25143.77+1334.6</f>
        <v>26478.37</v>
      </c>
      <c r="J275" s="18">
        <f>63452.04+16838.31</f>
        <v>80290.350000000006</v>
      </c>
      <c r="K275" s="18"/>
      <c r="L275" s="19">
        <f>SUM(F275:K275)</f>
        <v>685186.49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187813.82</v>
      </c>
      <c r="G276" s="18">
        <v>96267.83</v>
      </c>
      <c r="H276" s="18">
        <v>12210.51</v>
      </c>
      <c r="I276" s="18">
        <v>32889.54</v>
      </c>
      <c r="J276" s="18">
        <v>67817.94</v>
      </c>
      <c r="K276" s="18"/>
      <c r="L276" s="19">
        <f>SUM(F276:K276)</f>
        <v>396999.64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29325</v>
      </c>
      <c r="G278" s="18">
        <v>4909.53</v>
      </c>
      <c r="H278" s="18">
        <f>5000+2808</f>
        <v>7808</v>
      </c>
      <c r="I278" s="18">
        <f>2229+304.11</f>
        <v>2533.11</v>
      </c>
      <c r="J278" s="18"/>
      <c r="K278" s="18">
        <v>166.28</v>
      </c>
      <c r="L278" s="19">
        <f>SUM(F278:K278)</f>
        <v>44741.919999999998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25975.39</v>
      </c>
      <c r="G280" s="18">
        <v>12005.36</v>
      </c>
      <c r="H280" s="18">
        <f>6600</f>
        <v>6600</v>
      </c>
      <c r="I280" s="18"/>
      <c r="J280" s="18">
        <v>1284</v>
      </c>
      <c r="K280" s="18">
        <v>2502.3000000000002</v>
      </c>
      <c r="L280" s="19">
        <f t="shared" ref="L280:L286" si="12">SUM(F280:K280)</f>
        <v>48367.05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2380+700.81+128279.85+2100</f>
        <v>133460.66</v>
      </c>
      <c r="G281" s="18">
        <f>411.42+113.56+68199.54+428.53</f>
        <v>69153.049999999988</v>
      </c>
      <c r="H281" s="18">
        <f>700+30828.29+5049.96+40450.32+84781.25+25162.81</f>
        <v>186972.63</v>
      </c>
      <c r="I281" s="18">
        <f>295.32+1486.03+3185.88</f>
        <v>4967.2299999999996</v>
      </c>
      <c r="J281" s="18">
        <f>233.8</f>
        <v>233.8</v>
      </c>
      <c r="K281" s="18"/>
      <c r="L281" s="19">
        <f t="shared" si="12"/>
        <v>394787.36999999994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39790.879999999997</v>
      </c>
      <c r="G282" s="18">
        <v>14891.93</v>
      </c>
      <c r="H282" s="18">
        <f>2512.6+11684.32</f>
        <v>14196.92</v>
      </c>
      <c r="I282" s="18">
        <v>1137.6199999999999</v>
      </c>
      <c r="J282" s="18"/>
      <c r="K282" s="18"/>
      <c r="L282" s="19">
        <f t="shared" si="12"/>
        <v>70017.349999999991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68022.01+6874.62</f>
        <v>74896.62999999999</v>
      </c>
      <c r="L284" s="19">
        <f t="shared" si="12"/>
        <v>74896.62999999999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1097.5999999999999</v>
      </c>
      <c r="G285" s="18">
        <v>87.8</v>
      </c>
      <c r="H285" s="18">
        <v>12496.23</v>
      </c>
      <c r="I285" s="18"/>
      <c r="J285" s="18"/>
      <c r="K285" s="18"/>
      <c r="L285" s="19">
        <f t="shared" si="12"/>
        <v>13681.63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1212.5</v>
      </c>
      <c r="I286" s="18"/>
      <c r="J286" s="18"/>
      <c r="K286" s="18"/>
      <c r="L286" s="19">
        <f t="shared" si="12"/>
        <v>1212.5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811923.89</v>
      </c>
      <c r="G289" s="42">
        <f t="shared" si="13"/>
        <v>370331.44</v>
      </c>
      <c r="H289" s="42">
        <f t="shared" si="13"/>
        <v>252438.08000000002</v>
      </c>
      <c r="I289" s="42">
        <f t="shared" si="13"/>
        <v>68005.87</v>
      </c>
      <c r="J289" s="42">
        <f t="shared" si="13"/>
        <v>149626.09</v>
      </c>
      <c r="K289" s="42">
        <f t="shared" si="13"/>
        <v>77565.209999999992</v>
      </c>
      <c r="L289" s="41">
        <f t="shared" si="13"/>
        <v>1729890.5799999996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>
        <v>4706.68</v>
      </c>
      <c r="I294" s="18">
        <v>648.23</v>
      </c>
      <c r="J294" s="18">
        <v>8178.61</v>
      </c>
      <c r="K294" s="18"/>
      <c r="L294" s="19">
        <f>SUM(F294:K294)</f>
        <v>13533.52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>
        <v>8000</v>
      </c>
      <c r="I295" s="18">
        <v>38227.17</v>
      </c>
      <c r="J295" s="18">
        <v>999.4</v>
      </c>
      <c r="K295" s="18"/>
      <c r="L295" s="19">
        <f>SUM(F295:K295)</f>
        <v>47226.57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>
        <v>212.81</v>
      </c>
      <c r="J297" s="18"/>
      <c r="K297" s="18"/>
      <c r="L297" s="19">
        <f>SUM(F297:K297)</f>
        <v>212.81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1020</v>
      </c>
      <c r="G300" s="18">
        <v>208.14</v>
      </c>
      <c r="H300" s="18">
        <f>486.04+12221.94</f>
        <v>12707.980000000001</v>
      </c>
      <c r="I300" s="18">
        <v>1547.43</v>
      </c>
      <c r="J300" s="18">
        <v>113.56</v>
      </c>
      <c r="K300" s="18"/>
      <c r="L300" s="19">
        <f t="shared" si="14"/>
        <v>15597.11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>
        <v>5675.24</v>
      </c>
      <c r="I301" s="18"/>
      <c r="J301" s="18"/>
      <c r="K301" s="18"/>
      <c r="L301" s="19">
        <f t="shared" si="14"/>
        <v>5675.24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v>3339.1</v>
      </c>
      <c r="L303" s="19">
        <f t="shared" si="14"/>
        <v>3339.1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533.12</v>
      </c>
      <c r="G304" s="18">
        <v>42.64</v>
      </c>
      <c r="H304" s="18">
        <v>6069.59</v>
      </c>
      <c r="I304" s="18"/>
      <c r="J304" s="18"/>
      <c r="K304" s="18"/>
      <c r="L304" s="19">
        <f t="shared" si="14"/>
        <v>6645.35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1553.12</v>
      </c>
      <c r="G308" s="42">
        <f t="shared" si="15"/>
        <v>250.77999999999997</v>
      </c>
      <c r="H308" s="42">
        <f t="shared" si="15"/>
        <v>37159.490000000005</v>
      </c>
      <c r="I308" s="42">
        <f t="shared" si="15"/>
        <v>40635.64</v>
      </c>
      <c r="J308" s="42">
        <f t="shared" si="15"/>
        <v>9291.57</v>
      </c>
      <c r="K308" s="42">
        <f t="shared" si="15"/>
        <v>3339.1</v>
      </c>
      <c r="L308" s="41">
        <f t="shared" si="15"/>
        <v>92229.700000000012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37500</v>
      </c>
      <c r="G313" s="18">
        <v>7741.84</v>
      </c>
      <c r="H313" s="18">
        <f>185860+13289.45</f>
        <v>199149.45</v>
      </c>
      <c r="I313" s="18">
        <f>11.99+1830.31</f>
        <v>1842.3</v>
      </c>
      <c r="J313" s="18">
        <f>21030+23092.54</f>
        <v>44122.54</v>
      </c>
      <c r="K313" s="18"/>
      <c r="L313" s="19">
        <f>SUM(F313:K313)</f>
        <v>290356.13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>
        <v>843.48</v>
      </c>
      <c r="J314" s="18">
        <v>3679.37</v>
      </c>
      <c r="K314" s="18"/>
      <c r="L314" s="19">
        <f>SUM(F314:K314)</f>
        <v>4522.8500000000004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3480</v>
      </c>
      <c r="G315" s="18">
        <v>671.64</v>
      </c>
      <c r="H315" s="18">
        <v>45094</v>
      </c>
      <c r="I315" s="18">
        <v>12383.8</v>
      </c>
      <c r="J315" s="18">
        <v>18903.36</v>
      </c>
      <c r="K315" s="18"/>
      <c r="L315" s="19">
        <f>SUM(F315:K315)</f>
        <v>80532.800000000003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2700</v>
      </c>
      <c r="G316" s="18">
        <v>556.88</v>
      </c>
      <c r="H316" s="18"/>
      <c r="I316" s="18">
        <v>1154.57</v>
      </c>
      <c r="J316" s="18">
        <v>3364.81</v>
      </c>
      <c r="K316" s="18"/>
      <c r="L316" s="19">
        <f>SUM(F316:K316)</f>
        <v>7776.26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29700+462.5+56399.98</f>
        <v>86562.48000000001</v>
      </c>
      <c r="G318" s="18">
        <f>2375.83+36.97+21251.44</f>
        <v>23664.239999999998</v>
      </c>
      <c r="H318" s="18"/>
      <c r="I318" s="18">
        <f>2677.5+227.1</f>
        <v>2904.6</v>
      </c>
      <c r="J318" s="18"/>
      <c r="K318" s="18"/>
      <c r="L318" s="19">
        <f t="shared" ref="L318:L324" si="16">SUM(F318:K318)</f>
        <v>113131.32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3770+2880</f>
        <v>6650</v>
      </c>
      <c r="G319" s="18">
        <f>759.42+587.7</f>
        <v>1347.12</v>
      </c>
      <c r="H319" s="18">
        <f>14610.26+34509</f>
        <v>49119.26</v>
      </c>
      <c r="I319" s="18">
        <f>2454.66+4369.21</f>
        <v>6823.87</v>
      </c>
      <c r="J319" s="18">
        <v>320.64</v>
      </c>
      <c r="K319" s="18">
        <f>7468.42</f>
        <v>7468.42</v>
      </c>
      <c r="L319" s="19">
        <f t="shared" si="16"/>
        <v>71729.310000000012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v>16024.21</v>
      </c>
      <c r="I320" s="18"/>
      <c r="J320" s="18"/>
      <c r="K320" s="18"/>
      <c r="L320" s="19">
        <f t="shared" si="16"/>
        <v>16024.21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f>4594.68+9428.04</f>
        <v>14022.720000000001</v>
      </c>
      <c r="L322" s="19">
        <f t="shared" si="16"/>
        <v>14022.720000000001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1505.28</v>
      </c>
      <c r="G323" s="18">
        <v>120.41</v>
      </c>
      <c r="H323" s="18">
        <v>17137.68</v>
      </c>
      <c r="I323" s="18"/>
      <c r="J323" s="18"/>
      <c r="K323" s="18"/>
      <c r="L323" s="19">
        <f t="shared" si="16"/>
        <v>18763.37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138397.76000000001</v>
      </c>
      <c r="G327" s="42">
        <f t="shared" si="17"/>
        <v>34102.130000000005</v>
      </c>
      <c r="H327" s="42">
        <f t="shared" si="17"/>
        <v>326524.60000000003</v>
      </c>
      <c r="I327" s="42">
        <f t="shared" si="17"/>
        <v>25952.619999999995</v>
      </c>
      <c r="J327" s="42">
        <f t="shared" si="17"/>
        <v>70390.720000000001</v>
      </c>
      <c r="K327" s="42">
        <f t="shared" si="17"/>
        <v>21491.14</v>
      </c>
      <c r="L327" s="41">
        <f t="shared" si="17"/>
        <v>616858.97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>
        <v>5024</v>
      </c>
      <c r="I331" s="18"/>
      <c r="J331" s="18"/>
      <c r="K331" s="18"/>
      <c r="L331" s="19">
        <f t="shared" ref="L331:L336" si="18">SUM(F331:K331)</f>
        <v>5024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280825.88</v>
      </c>
      <c r="G332" s="18">
        <v>77228.17</v>
      </c>
      <c r="H332" s="18">
        <v>51464.52</v>
      </c>
      <c r="I332" s="18">
        <v>13691.81</v>
      </c>
      <c r="J332" s="18">
        <v>1869.99</v>
      </c>
      <c r="K332" s="18">
        <v>9344.56</v>
      </c>
      <c r="L332" s="19">
        <f t="shared" si="18"/>
        <v>434424.93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280825.88</v>
      </c>
      <c r="G336" s="41">
        <f t="shared" si="19"/>
        <v>77228.17</v>
      </c>
      <c r="H336" s="41">
        <f t="shared" si="19"/>
        <v>56488.52</v>
      </c>
      <c r="I336" s="41">
        <f t="shared" si="19"/>
        <v>13691.81</v>
      </c>
      <c r="J336" s="41">
        <f t="shared" si="19"/>
        <v>1869.99</v>
      </c>
      <c r="K336" s="41">
        <f t="shared" si="19"/>
        <v>9344.56</v>
      </c>
      <c r="L336" s="41">
        <f t="shared" si="18"/>
        <v>439448.93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1232700.6499999999</v>
      </c>
      <c r="G337" s="41">
        <f t="shared" si="20"/>
        <v>481912.52</v>
      </c>
      <c r="H337" s="41">
        <f t="shared" si="20"/>
        <v>672610.69000000006</v>
      </c>
      <c r="I337" s="41">
        <f t="shared" si="20"/>
        <v>148285.94</v>
      </c>
      <c r="J337" s="41">
        <f t="shared" si="20"/>
        <v>231178.37</v>
      </c>
      <c r="K337" s="41">
        <f t="shared" si="20"/>
        <v>111740.01</v>
      </c>
      <c r="L337" s="41">
        <f t="shared" si="20"/>
        <v>2878428.1799999997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1232700.6499999999</v>
      </c>
      <c r="G351" s="41">
        <f>G337</f>
        <v>481912.52</v>
      </c>
      <c r="H351" s="41">
        <f>H337</f>
        <v>672610.69000000006</v>
      </c>
      <c r="I351" s="41">
        <f>I337</f>
        <v>148285.94</v>
      </c>
      <c r="J351" s="41">
        <f>J337</f>
        <v>231178.37</v>
      </c>
      <c r="K351" s="47">
        <f>K337+K350</f>
        <v>111740.01</v>
      </c>
      <c r="L351" s="41">
        <f>L337+L350</f>
        <v>2878428.1799999997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214835.46</v>
      </c>
      <c r="G357" s="18">
        <v>65088.03</v>
      </c>
      <c r="H357" s="18">
        <v>3982.01</v>
      </c>
      <c r="I357" s="18">
        <v>54931.31</v>
      </c>
      <c r="J357" s="18">
        <v>3604.36</v>
      </c>
      <c r="K357" s="18">
        <v>275.81</v>
      </c>
      <c r="L357" s="13">
        <f>SUM(F357:K357)</f>
        <v>342716.98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59673.69</v>
      </c>
      <c r="G358" s="18">
        <v>27120.21</v>
      </c>
      <c r="H358" s="18"/>
      <c r="I358" s="18">
        <v>177175.29</v>
      </c>
      <c r="J358" s="18"/>
      <c r="K358" s="18">
        <v>120</v>
      </c>
      <c r="L358" s="19">
        <f>SUM(F358:K358)</f>
        <v>264089.19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258080.96</v>
      </c>
      <c r="G359" s="18">
        <v>82319.759999999995</v>
      </c>
      <c r="H359" s="18">
        <v>16698.48</v>
      </c>
      <c r="I359" s="18">
        <v>553457.61</v>
      </c>
      <c r="J359" s="18">
        <v>199</v>
      </c>
      <c r="K359" s="18">
        <v>6075.5</v>
      </c>
      <c r="L359" s="19">
        <f>SUM(F359:K359)</f>
        <v>916831.30999999994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532590.11</v>
      </c>
      <c r="G361" s="47">
        <f t="shared" si="22"/>
        <v>174528</v>
      </c>
      <c r="H361" s="47">
        <f t="shared" si="22"/>
        <v>20680.489999999998</v>
      </c>
      <c r="I361" s="47">
        <f t="shared" si="22"/>
        <v>785564.21</v>
      </c>
      <c r="J361" s="47">
        <f t="shared" si="22"/>
        <v>3803.36</v>
      </c>
      <c r="K361" s="47">
        <f t="shared" si="22"/>
        <v>6471.31</v>
      </c>
      <c r="L361" s="47">
        <f t="shared" si="22"/>
        <v>1523637.48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53274.85</v>
      </c>
      <c r="G366" s="18">
        <f>167965.89+2378.75</f>
        <v>170344.64</v>
      </c>
      <c r="H366" s="18">
        <f>518022.17+5156.25</f>
        <v>523178.42</v>
      </c>
      <c r="I366" s="56">
        <f>SUM(F366:H366)</f>
        <v>746797.91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1656.46</v>
      </c>
      <c r="G367" s="63">
        <v>6830.65</v>
      </c>
      <c r="H367" s="63">
        <v>30279.19</v>
      </c>
      <c r="I367" s="56">
        <f>SUM(F367:H367)</f>
        <v>38766.300000000003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54931.31</v>
      </c>
      <c r="G368" s="47">
        <f>SUM(G366:G367)</f>
        <v>177175.29</v>
      </c>
      <c r="H368" s="47">
        <f>SUM(H366:H367)</f>
        <v>553457.61</v>
      </c>
      <c r="I368" s="47">
        <f>SUM(I366:I367)</f>
        <v>785564.21000000008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260852.69</v>
      </c>
      <c r="I375" s="18"/>
      <c r="J375" s="18"/>
      <c r="K375" s="18"/>
      <c r="L375" s="13">
        <f t="shared" si="23"/>
        <v>260852.69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86001.36</v>
      </c>
      <c r="G377" s="18">
        <v>23768.21</v>
      </c>
      <c r="H377" s="18">
        <v>3009094.4</v>
      </c>
      <c r="I377" s="18"/>
      <c r="J377" s="18">
        <v>2341325.89</v>
      </c>
      <c r="K377" s="18">
        <v>157485.04</v>
      </c>
      <c r="L377" s="13">
        <f t="shared" si="23"/>
        <v>5617674.8999999994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222497</v>
      </c>
      <c r="I378" s="18"/>
      <c r="J378" s="18"/>
      <c r="K378" s="18"/>
      <c r="L378" s="13">
        <f t="shared" si="23"/>
        <v>222497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39096.68</v>
      </c>
      <c r="I379" s="18"/>
      <c r="J379" s="18"/>
      <c r="K379" s="18"/>
      <c r="L379" s="13">
        <f t="shared" si="23"/>
        <v>39096.68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f>180900.81+6695</f>
        <v>187595.81</v>
      </c>
      <c r="L380" s="13">
        <f t="shared" si="23"/>
        <v>187595.81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86001.36</v>
      </c>
      <c r="G381" s="139">
        <f t="shared" ref="G381:L381" si="24">SUM(G373:G380)</f>
        <v>23768.21</v>
      </c>
      <c r="H381" s="139">
        <f t="shared" si="24"/>
        <v>3531540.77</v>
      </c>
      <c r="I381" s="41">
        <f t="shared" si="24"/>
        <v>0</v>
      </c>
      <c r="J381" s="47">
        <f t="shared" si="24"/>
        <v>2341325.89</v>
      </c>
      <c r="K381" s="47">
        <f t="shared" si="24"/>
        <v>345080.85</v>
      </c>
      <c r="L381" s="47">
        <f t="shared" si="24"/>
        <v>6327717.0799999991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756695</v>
      </c>
      <c r="H395" s="18"/>
      <c r="I395" s="18"/>
      <c r="J395" s="24" t="s">
        <v>289</v>
      </c>
      <c r="K395" s="24" t="s">
        <v>289</v>
      </c>
      <c r="L395" s="56">
        <f t="shared" si="26"/>
        <v>756695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756695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756695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756695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756695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856695</v>
      </c>
      <c r="H438" s="18"/>
      <c r="I438" s="56">
        <f t="shared" ref="I438:I444" si="33">SUM(F438:H438)</f>
        <v>856695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856695</v>
      </c>
      <c r="H445" s="13">
        <f>SUM(H438:H444)</f>
        <v>0</v>
      </c>
      <c r="I445" s="13">
        <f>SUM(I438:I444)</f>
        <v>856695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856695</v>
      </c>
      <c r="H458" s="18"/>
      <c r="I458" s="56">
        <f t="shared" si="34"/>
        <v>856695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856695</v>
      </c>
      <c r="H459" s="83">
        <f>SUM(H453:H458)</f>
        <v>0</v>
      </c>
      <c r="I459" s="83">
        <f>SUM(I453:I458)</f>
        <v>856695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856695</v>
      </c>
      <c r="H460" s="42">
        <f>H451+H459</f>
        <v>0</v>
      </c>
      <c r="I460" s="42">
        <f>I451+I459</f>
        <v>856695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3725899.98</v>
      </c>
      <c r="G464" s="18">
        <v>219620.62</v>
      </c>
      <c r="H464" s="18">
        <v>191346.69</v>
      </c>
      <c r="I464" s="18">
        <v>8643494.75</v>
      </c>
      <c r="J464" s="18">
        <v>100000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55590383.18</v>
      </c>
      <c r="G467" s="18">
        <v>1506334.07</v>
      </c>
      <c r="H467" s="18">
        <f>2243966.82+78958.52+528238.1</f>
        <v>2851163.44</v>
      </c>
      <c r="I467" s="18">
        <v>575445.05000000005</v>
      </c>
      <c r="J467" s="18">
        <v>756695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105759.09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55696142.270000003</v>
      </c>
      <c r="G469" s="53">
        <f>SUM(G467:G468)</f>
        <v>1506334.07</v>
      </c>
      <c r="H469" s="53">
        <f>SUM(H467:H468)</f>
        <v>2851163.44</v>
      </c>
      <c r="I469" s="53">
        <f>SUM(I467:I468)</f>
        <v>575445.05000000005</v>
      </c>
      <c r="J469" s="53">
        <f>SUM(J467:J468)</f>
        <v>756695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56292558.109999999</v>
      </c>
      <c r="G471" s="18">
        <v>1523637.48</v>
      </c>
      <c r="H471" s="18">
        <f>2243966.82+78958.52+505148.22+50354.62</f>
        <v>2878428.1799999997</v>
      </c>
      <c r="I471" s="18">
        <v>6327717.0800000001</v>
      </c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>
        <v>1239.5999999999999</v>
      </c>
      <c r="I472" s="18">
        <v>229602</v>
      </c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56292558.109999999</v>
      </c>
      <c r="G473" s="53">
        <f>SUM(G471:G472)</f>
        <v>1523637.48</v>
      </c>
      <c r="H473" s="53">
        <f>SUM(H471:H472)</f>
        <v>2879667.78</v>
      </c>
      <c r="I473" s="53">
        <f>SUM(I471:I472)</f>
        <v>6557319.0800000001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3129484.1400000006</v>
      </c>
      <c r="G475" s="53">
        <f>(G464+G469)- G473</f>
        <v>202317.20999999996</v>
      </c>
      <c r="H475" s="53">
        <f>(H464+H469)- H473</f>
        <v>162842.35000000009</v>
      </c>
      <c r="I475" s="53">
        <f>(I464+I469)- I473</f>
        <v>2661620.7200000007</v>
      </c>
      <c r="J475" s="53">
        <f>(J464+J469)- J473</f>
        <v>856695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10</v>
      </c>
      <c r="I489" s="154">
        <v>29</v>
      </c>
      <c r="J489" s="154">
        <v>29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 t="s">
        <v>914</v>
      </c>
      <c r="I490" s="155" t="s">
        <v>916</v>
      </c>
      <c r="J490" s="155" t="s">
        <v>916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5" t="s">
        <v>915</v>
      </c>
      <c r="I491" s="155" t="s">
        <v>917</v>
      </c>
      <c r="J491" s="155" t="s">
        <v>917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17500000</v>
      </c>
      <c r="G492" s="18">
        <v>1500000</v>
      </c>
      <c r="H492" s="18">
        <v>1225000</v>
      </c>
      <c r="I492" s="18">
        <v>35115529.659999996</v>
      </c>
      <c r="J492" s="18">
        <v>1817970.34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>
        <v>3.23</v>
      </c>
      <c r="H493" s="18">
        <v>3.79</v>
      </c>
      <c r="I493" s="18">
        <v>4.4400000000000004</v>
      </c>
      <c r="J493" s="18">
        <v>4.4400000000000004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7875000</v>
      </c>
      <c r="G494" s="18">
        <v>300000</v>
      </c>
      <c r="H494" s="18">
        <v>725000</v>
      </c>
      <c r="I494" s="18">
        <v>34213962.899999999</v>
      </c>
      <c r="J494" s="18">
        <v>1771295.21</v>
      </c>
      <c r="K494" s="53">
        <f>SUM(F494:J494)</f>
        <v>44885258.109999999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875000</v>
      </c>
      <c r="G496" s="18">
        <v>150000</v>
      </c>
      <c r="H496" s="18">
        <v>125000</v>
      </c>
      <c r="I496" s="18">
        <f>1372302.85+751452.89</f>
        <v>2123755.7400000002</v>
      </c>
      <c r="J496" s="18">
        <f>71045.65+38903.56</f>
        <v>109949.20999999999</v>
      </c>
      <c r="K496" s="53">
        <f t="shared" si="35"/>
        <v>3383704.95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7000000</v>
      </c>
      <c r="G497" s="205">
        <v>150000</v>
      </c>
      <c r="H497" s="205">
        <v>600000</v>
      </c>
      <c r="I497" s="205">
        <v>32090207.16</v>
      </c>
      <c r="J497" s="205">
        <v>1661346</v>
      </c>
      <c r="K497" s="206">
        <f t="shared" si="35"/>
        <v>41501553.159999996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1470000</v>
      </c>
      <c r="G498" s="18">
        <v>2700</v>
      </c>
      <c r="H498" s="18">
        <v>57000</v>
      </c>
      <c r="I498" s="18">
        <v>30890764.809999999</v>
      </c>
      <c r="J498" s="18">
        <v>1601113.28</v>
      </c>
      <c r="K498" s="53">
        <f t="shared" si="35"/>
        <v>34021578.089999996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8470000</v>
      </c>
      <c r="G499" s="42">
        <f>SUM(G497:G498)</f>
        <v>152700</v>
      </c>
      <c r="H499" s="42">
        <f>SUM(H497:H498)</f>
        <v>657000</v>
      </c>
      <c r="I499" s="42">
        <f>SUM(I497:I498)</f>
        <v>62980971.969999999</v>
      </c>
      <c r="J499" s="42">
        <f>SUM(J497:J498)</f>
        <v>3262459.2800000003</v>
      </c>
      <c r="K499" s="42">
        <f t="shared" si="35"/>
        <v>75523131.25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875000</v>
      </c>
      <c r="G500" s="205">
        <v>150000</v>
      </c>
      <c r="H500" s="205">
        <v>120000</v>
      </c>
      <c r="I500" s="205">
        <f>1320278.45+707848.53</f>
        <v>2028126.98</v>
      </c>
      <c r="J500" s="205">
        <f>68352.3+36646.11</f>
        <v>104998.41</v>
      </c>
      <c r="K500" s="206">
        <f t="shared" si="35"/>
        <v>3278125.39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344531.25</v>
      </c>
      <c r="G501" s="18">
        <v>2700</v>
      </c>
      <c r="H501" s="18">
        <f>11400+9120</f>
        <v>20520</v>
      </c>
      <c r="I501" s="18">
        <f>134333.41+90536.91</f>
        <v>224870.32</v>
      </c>
      <c r="J501" s="18">
        <f>6954.59+4687.2</f>
        <v>11641.79</v>
      </c>
      <c r="K501" s="53">
        <f t="shared" si="35"/>
        <v>604263.3600000001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1219531.25</v>
      </c>
      <c r="G502" s="42">
        <f>SUM(G500:G501)</f>
        <v>152700</v>
      </c>
      <c r="H502" s="42">
        <f>SUM(H500:H501)</f>
        <v>140520</v>
      </c>
      <c r="I502" s="42">
        <f>SUM(I500:I501)</f>
        <v>2252997.2999999998</v>
      </c>
      <c r="J502" s="42">
        <f>SUM(J500:J501)</f>
        <v>116640.20000000001</v>
      </c>
      <c r="K502" s="42">
        <f t="shared" si="35"/>
        <v>3882388.75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2904181.31</v>
      </c>
      <c r="G520" s="18">
        <v>1107847.8899999999</v>
      </c>
      <c r="H520" s="18">
        <f>503398.39+5024</f>
        <v>508422.39</v>
      </c>
      <c r="I520" s="18">
        <v>54061.57</v>
      </c>
      <c r="J520" s="18">
        <v>75255.210000000006</v>
      </c>
      <c r="K520" s="18">
        <v>100</v>
      </c>
      <c r="L520" s="88">
        <f>SUM(F520:K520)</f>
        <v>4649868.37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1063166.3999999999</v>
      </c>
      <c r="G521" s="18">
        <v>487168.5</v>
      </c>
      <c r="H521" s="18">
        <v>781956.26</v>
      </c>
      <c r="I521" s="18">
        <v>45028.22</v>
      </c>
      <c r="J521" s="18">
        <v>1711.88</v>
      </c>
      <c r="K521" s="18"/>
      <c r="L521" s="88">
        <f>SUM(F521:K521)</f>
        <v>2379031.2600000002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1601382.24</v>
      </c>
      <c r="G522" s="18">
        <v>758929.56</v>
      </c>
      <c r="H522" s="18">
        <v>668410.6</v>
      </c>
      <c r="I522" s="18">
        <v>12654.76</v>
      </c>
      <c r="J522" s="18">
        <v>7947.44</v>
      </c>
      <c r="K522" s="18"/>
      <c r="L522" s="88">
        <f>SUM(F522:K522)</f>
        <v>3049324.5999999996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5568729.9500000002</v>
      </c>
      <c r="G523" s="108">
        <f t="shared" ref="G523:L523" si="36">SUM(G520:G522)</f>
        <v>2353945.9500000002</v>
      </c>
      <c r="H523" s="108">
        <f t="shared" si="36"/>
        <v>1958789.25</v>
      </c>
      <c r="I523" s="108">
        <f t="shared" si="36"/>
        <v>111744.55</v>
      </c>
      <c r="J523" s="108">
        <f t="shared" si="36"/>
        <v>84914.530000000013</v>
      </c>
      <c r="K523" s="108">
        <f t="shared" si="36"/>
        <v>100</v>
      </c>
      <c r="L523" s="89">
        <f t="shared" si="36"/>
        <v>10078224.23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9392.03+278930.57+597282.89+195113.14+150+128279.85</f>
        <v>1209148.48</v>
      </c>
      <c r="G525" s="18">
        <f>1893.44+106602.06+242942.07+106547.88+68199.54</f>
        <v>526184.99</v>
      </c>
      <c r="H525" s="18">
        <f>8125+34681+2046.46+63450+41397.75+15433.75+5049.96+40450.32+107023.88</f>
        <v>317658.12</v>
      </c>
      <c r="I525" s="18">
        <f>3086.24+2548.75+424.59+2892.62+12821.7</f>
        <v>21773.9</v>
      </c>
      <c r="J525" s="18">
        <v>1284</v>
      </c>
      <c r="K525" s="18"/>
      <c r="L525" s="88">
        <f>SUM(F525:K525)</f>
        <v>2076049.4899999998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121398.28+26045.5+20272.12+83560.11</f>
        <v>251276.01</v>
      </c>
      <c r="G526" s="18">
        <f>55181.64+10672.59+11201.1+42345.61</f>
        <v>119400.94</v>
      </c>
      <c r="H526" s="18">
        <f>32850+4500+5175+1224.54+2221.74</f>
        <v>45971.28</v>
      </c>
      <c r="I526" s="18">
        <f>2315.98+287.69+1525</f>
        <v>4128.67</v>
      </c>
      <c r="J526" s="18"/>
      <c r="K526" s="18"/>
      <c r="L526" s="88">
        <f>SUM(F526:K526)</f>
        <v>420776.89999999997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29700+6768.03+70200.26+31520.89+179537.77</f>
        <v>317726.94999999995</v>
      </c>
      <c r="G527" s="18">
        <f>2375.83+3498.47+20948.2+10445.1+63979.43</f>
        <v>101247.03</v>
      </c>
      <c r="H527" s="18">
        <f>19026.68+6625+70103.71+414268.81+3764.14</f>
        <v>513788.34</v>
      </c>
      <c r="I527" s="18">
        <f>963.4+392.92+227.1+72.17</f>
        <v>1655.59</v>
      </c>
      <c r="J527" s="18"/>
      <c r="K527" s="18"/>
      <c r="L527" s="88">
        <f>SUM(F527:K527)</f>
        <v>934417.91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1778151.44</v>
      </c>
      <c r="G528" s="89">
        <f t="shared" ref="G528:L528" si="37">SUM(G525:G527)</f>
        <v>746832.96</v>
      </c>
      <c r="H528" s="89">
        <f t="shared" si="37"/>
        <v>877417.74</v>
      </c>
      <c r="I528" s="89">
        <f t="shared" si="37"/>
        <v>27558.16</v>
      </c>
      <c r="J528" s="89">
        <f t="shared" si="37"/>
        <v>1284</v>
      </c>
      <c r="K528" s="89">
        <f t="shared" si="37"/>
        <v>0</v>
      </c>
      <c r="L528" s="89">
        <f t="shared" si="37"/>
        <v>3431244.3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146561.96</v>
      </c>
      <c r="G530" s="18">
        <v>62535.99</v>
      </c>
      <c r="H530" s="18">
        <v>3016.94</v>
      </c>
      <c r="I530" s="18">
        <v>1880.88</v>
      </c>
      <c r="J530" s="18">
        <v>1114.05</v>
      </c>
      <c r="K530" s="18">
        <v>39975.760000000002</v>
      </c>
      <c r="L530" s="88">
        <f>SUM(F530:K530)</f>
        <v>255085.58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65114.94</v>
      </c>
      <c r="G531" s="18">
        <v>30881.69</v>
      </c>
      <c r="H531" s="18"/>
      <c r="I531" s="18"/>
      <c r="J531" s="18"/>
      <c r="K531" s="18"/>
      <c r="L531" s="88">
        <f>SUM(F531:K531)</f>
        <v>95996.63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104010.24000000001</v>
      </c>
      <c r="G532" s="18">
        <v>51307.62</v>
      </c>
      <c r="H532" s="18"/>
      <c r="I532" s="18"/>
      <c r="J532" s="18"/>
      <c r="K532" s="18"/>
      <c r="L532" s="88">
        <f>SUM(F532:K532)</f>
        <v>155317.86000000002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315687.14</v>
      </c>
      <c r="G533" s="89">
        <f t="shared" ref="G533:L533" si="38">SUM(G530:G532)</f>
        <v>144725.29999999999</v>
      </c>
      <c r="H533" s="89">
        <f t="shared" si="38"/>
        <v>3016.94</v>
      </c>
      <c r="I533" s="89">
        <f t="shared" si="38"/>
        <v>1880.88</v>
      </c>
      <c r="J533" s="89">
        <f t="shared" si="38"/>
        <v>1114.05</v>
      </c>
      <c r="K533" s="89">
        <f t="shared" si="38"/>
        <v>39975.760000000002</v>
      </c>
      <c r="L533" s="89">
        <f t="shared" si="38"/>
        <v>506400.06999999995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7024.47</v>
      </c>
      <c r="I537" s="18"/>
      <c r="J537" s="18"/>
      <c r="K537" s="18"/>
      <c r="L537" s="88">
        <f>SUM(F537:K537)</f>
        <v>7024.47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7024.47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7024.47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416206.32</v>
      </c>
      <c r="I540" s="18"/>
      <c r="J540" s="18"/>
      <c r="K540" s="18"/>
      <c r="L540" s="88">
        <f>SUM(F540:K540)</f>
        <v>416206.32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156137.59+525</f>
        <v>156662.59</v>
      </c>
      <c r="I541" s="18"/>
      <c r="J541" s="18"/>
      <c r="K541" s="18"/>
      <c r="L541" s="88">
        <f>SUM(F541:K541)</f>
        <v>156662.59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140624.5+2632.92</f>
        <v>143257.42000000001</v>
      </c>
      <c r="I542" s="18"/>
      <c r="J542" s="18"/>
      <c r="K542" s="18"/>
      <c r="L542" s="88">
        <f>SUM(F542:K542)</f>
        <v>143257.42000000001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716126.33000000007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716126.33000000007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7662568.5300000003</v>
      </c>
      <c r="G544" s="89">
        <f t="shared" ref="G544:L544" si="41">G523+G528+G533+G538+G543</f>
        <v>3245504.21</v>
      </c>
      <c r="H544" s="89">
        <f t="shared" si="41"/>
        <v>3562374.7300000004</v>
      </c>
      <c r="I544" s="89">
        <f t="shared" si="41"/>
        <v>141183.59</v>
      </c>
      <c r="J544" s="89">
        <f t="shared" si="41"/>
        <v>87312.580000000016</v>
      </c>
      <c r="K544" s="89">
        <f t="shared" si="41"/>
        <v>40075.760000000002</v>
      </c>
      <c r="L544" s="89">
        <f t="shared" si="41"/>
        <v>14739019.400000002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4649868.37</v>
      </c>
      <c r="G548" s="87">
        <f>L525</f>
        <v>2076049.4899999998</v>
      </c>
      <c r="H548" s="87">
        <f>L530</f>
        <v>255085.58</v>
      </c>
      <c r="I548" s="87">
        <f>L535</f>
        <v>0</v>
      </c>
      <c r="J548" s="87">
        <f>L540</f>
        <v>416206.32</v>
      </c>
      <c r="K548" s="87">
        <f>SUM(F548:J548)</f>
        <v>7397209.7599999998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2379031.2600000002</v>
      </c>
      <c r="G549" s="87">
        <f>L526</f>
        <v>420776.89999999997</v>
      </c>
      <c r="H549" s="87">
        <f>L531</f>
        <v>95996.63</v>
      </c>
      <c r="I549" s="87">
        <f>L536</f>
        <v>0</v>
      </c>
      <c r="J549" s="87">
        <f>L541</f>
        <v>156662.59</v>
      </c>
      <c r="K549" s="87">
        <f>SUM(F549:J549)</f>
        <v>3052467.38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3049324.5999999996</v>
      </c>
      <c r="G550" s="87">
        <f>L527</f>
        <v>934417.91</v>
      </c>
      <c r="H550" s="87">
        <f>L532</f>
        <v>155317.86000000002</v>
      </c>
      <c r="I550" s="87">
        <f>L537</f>
        <v>7024.47</v>
      </c>
      <c r="J550" s="87">
        <f>L542</f>
        <v>143257.42000000001</v>
      </c>
      <c r="K550" s="87">
        <f>SUM(F550:J550)</f>
        <v>4289342.26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10078224.23</v>
      </c>
      <c r="G551" s="89">
        <f t="shared" si="42"/>
        <v>3431244.3</v>
      </c>
      <c r="H551" s="89">
        <f t="shared" si="42"/>
        <v>506400.06999999995</v>
      </c>
      <c r="I551" s="89">
        <f t="shared" si="42"/>
        <v>7024.47</v>
      </c>
      <c r="J551" s="89">
        <f t="shared" si="42"/>
        <v>716126.33000000007</v>
      </c>
      <c r="K551" s="89">
        <f t="shared" si="42"/>
        <v>14739019.4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116045.62</v>
      </c>
      <c r="G561" s="18">
        <f>21888.05+1400+196.29+447.12+8470.36+12980.43+406.51</f>
        <v>45788.76</v>
      </c>
      <c r="H561" s="18">
        <v>75</v>
      </c>
      <c r="I561" s="18">
        <f>220.18+219.17</f>
        <v>439.35</v>
      </c>
      <c r="J561" s="18">
        <v>1525</v>
      </c>
      <c r="K561" s="18"/>
      <c r="L561" s="88">
        <f>SUM(F561:K561)</f>
        <v>163873.73000000001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116045.62</v>
      </c>
      <c r="G564" s="89">
        <f t="shared" si="44"/>
        <v>45788.76</v>
      </c>
      <c r="H564" s="89">
        <f t="shared" si="44"/>
        <v>75</v>
      </c>
      <c r="I564" s="89">
        <f t="shared" si="44"/>
        <v>439.35</v>
      </c>
      <c r="J564" s="89">
        <f t="shared" si="44"/>
        <v>1525</v>
      </c>
      <c r="K564" s="89">
        <f t="shared" si="44"/>
        <v>0</v>
      </c>
      <c r="L564" s="89">
        <f t="shared" si="44"/>
        <v>163873.73000000001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>
        <v>4104.8900000000003</v>
      </c>
      <c r="L566" s="88">
        <f>SUM(F566:K566)</f>
        <v>4104.8900000000003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>
        <v>2021.8</v>
      </c>
      <c r="L567" s="88">
        <f>SUM(F567:K567)</f>
        <v>2021.8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6126.6900000000005</v>
      </c>
      <c r="L569" s="194">
        <f t="shared" si="45"/>
        <v>6126.6900000000005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116045.62</v>
      </c>
      <c r="G570" s="89">
        <f t="shared" ref="G570:L570" si="46">G559+G564+G569</f>
        <v>45788.76</v>
      </c>
      <c r="H570" s="89">
        <f t="shared" si="46"/>
        <v>75</v>
      </c>
      <c r="I570" s="89">
        <f t="shared" si="46"/>
        <v>439.35</v>
      </c>
      <c r="J570" s="89">
        <f t="shared" si="46"/>
        <v>1525</v>
      </c>
      <c r="K570" s="89">
        <f t="shared" si="46"/>
        <v>6126.6900000000005</v>
      </c>
      <c r="L570" s="89">
        <f t="shared" si="46"/>
        <v>170000.42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89630.31</v>
      </c>
      <c r="G578" s="18">
        <v>80392.12</v>
      </c>
      <c r="H578" s="18">
        <v>41051.1</v>
      </c>
      <c r="I578" s="87">
        <f t="shared" si="47"/>
        <v>211073.53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152356.32</v>
      </c>
      <c r="G579" s="18">
        <v>214667.41</v>
      </c>
      <c r="H579" s="18">
        <v>169745.22</v>
      </c>
      <c r="I579" s="87">
        <f t="shared" si="47"/>
        <v>536768.94999999995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236419.44</v>
      </c>
      <c r="G581" s="18">
        <v>477439.84</v>
      </c>
      <c r="H581" s="18">
        <v>380048.95</v>
      </c>
      <c r="I581" s="87">
        <f t="shared" si="47"/>
        <v>1093908.23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286060</v>
      </c>
      <c r="I590" s="18">
        <v>138943</v>
      </c>
      <c r="J590" s="18">
        <v>392311</v>
      </c>
      <c r="K590" s="104">
        <f t="shared" ref="K590:K596" si="48">SUM(H590:J590)</f>
        <v>817314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416206.32</v>
      </c>
      <c r="I591" s="18">
        <f>156137.59+525</f>
        <v>156662.59</v>
      </c>
      <c r="J591" s="18">
        <f>140624.5+1347.5+1285.42</f>
        <v>143257.42000000001</v>
      </c>
      <c r="K591" s="104">
        <f t="shared" si="48"/>
        <v>716126.33000000007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1125.48</v>
      </c>
      <c r="K592" s="104">
        <f t="shared" si="48"/>
        <v>1125.48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16960.21</v>
      </c>
      <c r="J593" s="18">
        <v>129457.59</v>
      </c>
      <c r="K593" s="104">
        <f t="shared" si="48"/>
        <v>146417.79999999999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19711.43</v>
      </c>
      <c r="I594" s="18">
        <f>4748.04+1989+361.96</f>
        <v>7099</v>
      </c>
      <c r="J594" s="18">
        <v>12323.59</v>
      </c>
      <c r="K594" s="104">
        <f t="shared" si="48"/>
        <v>39134.020000000004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>
        <v>6356.84</v>
      </c>
      <c r="J596" s="18"/>
      <c r="K596" s="104">
        <f t="shared" si="48"/>
        <v>6356.84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721977.75000000012</v>
      </c>
      <c r="I597" s="108">
        <f>SUM(I590:I596)</f>
        <v>326021.64</v>
      </c>
      <c r="J597" s="108">
        <f>SUM(J590:J596)</f>
        <v>678475.08</v>
      </c>
      <c r="K597" s="108">
        <f>SUM(K590:K596)</f>
        <v>1726474.4700000002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868+1862.59+328672.08</f>
        <v>331402.67000000004</v>
      </c>
      <c r="I603" s="18">
        <f>474.97+64.28+90394.6</f>
        <v>90933.85</v>
      </c>
      <c r="J603" s="18">
        <f>1621.99+44839.62+248+668+365562.06</f>
        <v>412939.67</v>
      </c>
      <c r="K603" s="104">
        <f>SUM(H603:J603)</f>
        <v>835276.19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331402.67000000004</v>
      </c>
      <c r="I604" s="108">
        <f>SUM(I601:I603)</f>
        <v>90933.85</v>
      </c>
      <c r="J604" s="108">
        <f>SUM(J601:J603)</f>
        <v>412939.67</v>
      </c>
      <c r="K604" s="108">
        <f>SUM(K601:K603)</f>
        <v>835276.19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25325+4000</f>
        <v>29325</v>
      </c>
      <c r="G610" s="18">
        <f>2243.47+2559.95+106.11</f>
        <v>4909.53</v>
      </c>
      <c r="H610" s="18">
        <f>2808</f>
        <v>2808</v>
      </c>
      <c r="I610" s="18">
        <v>304.11</v>
      </c>
      <c r="J610" s="18"/>
      <c r="K610" s="18"/>
      <c r="L610" s="88">
        <f>SUM(F610:K610)</f>
        <v>37346.639999999999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4400</v>
      </c>
      <c r="G611" s="18">
        <f>336.61+555.5+15.42</f>
        <v>907.53</v>
      </c>
      <c r="H611" s="18"/>
      <c r="I611" s="18"/>
      <c r="J611" s="18"/>
      <c r="K611" s="18"/>
      <c r="L611" s="88">
        <f>SUM(F611:K611)</f>
        <v>5307.53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4200</v>
      </c>
      <c r="G612" s="18">
        <f>321.29+510.38+14.71</f>
        <v>846.38000000000011</v>
      </c>
      <c r="H612" s="18"/>
      <c r="I612" s="18">
        <v>1154.57</v>
      </c>
      <c r="J612" s="18"/>
      <c r="K612" s="18"/>
      <c r="L612" s="88">
        <f>SUM(F612:K612)</f>
        <v>6200.95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37925</v>
      </c>
      <c r="G613" s="108">
        <f t="shared" si="49"/>
        <v>6663.44</v>
      </c>
      <c r="H613" s="108">
        <f t="shared" si="49"/>
        <v>2808</v>
      </c>
      <c r="I613" s="108">
        <f t="shared" si="49"/>
        <v>1458.6799999999998</v>
      </c>
      <c r="J613" s="108">
        <f t="shared" si="49"/>
        <v>0</v>
      </c>
      <c r="K613" s="108">
        <f t="shared" si="49"/>
        <v>0</v>
      </c>
      <c r="L613" s="89">
        <f t="shared" si="49"/>
        <v>48855.119999999995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3437223.71</v>
      </c>
      <c r="H616" s="109">
        <f>SUM(F51)</f>
        <v>3437223.71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222404.77000000002</v>
      </c>
      <c r="H617" s="109">
        <f>SUM(G51)</f>
        <v>222404.77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752048.64000000001</v>
      </c>
      <c r="H618" s="109">
        <f>SUM(H51)</f>
        <v>752048.6399999999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2978870.97</v>
      </c>
      <c r="H619" s="109">
        <f>SUM(I51)</f>
        <v>2978870.9699999997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856695</v>
      </c>
      <c r="H620" s="109">
        <f>SUM(J51)</f>
        <v>856695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3129484.14</v>
      </c>
      <c r="H621" s="109">
        <f>F475</f>
        <v>3129484.1400000006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202317.21</v>
      </c>
      <c r="H622" s="109">
        <f>G475</f>
        <v>202317.20999999996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162842.35</v>
      </c>
      <c r="H623" s="109">
        <f>H475</f>
        <v>162842.35000000009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2661620.7199999997</v>
      </c>
      <c r="H624" s="109">
        <f>I475</f>
        <v>2661620.7200000007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856695</v>
      </c>
      <c r="H625" s="109">
        <f>J475</f>
        <v>856695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55590383.179999992</v>
      </c>
      <c r="H626" s="104">
        <f>SUM(F467)</f>
        <v>55590383.18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1506334.0699999998</v>
      </c>
      <c r="H627" s="104">
        <f>SUM(G467)</f>
        <v>1506334.07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2851163.44</v>
      </c>
      <c r="H628" s="104">
        <f>SUM(H467)</f>
        <v>2851163.44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575445.05000000005</v>
      </c>
      <c r="H629" s="104">
        <f>SUM(I467)</f>
        <v>575445.05000000005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756695</v>
      </c>
      <c r="H630" s="104">
        <f>SUM(J467)</f>
        <v>756695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56292558.109999999</v>
      </c>
      <c r="H631" s="104">
        <f>SUM(F471)</f>
        <v>56292558.109999999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2878428.1799999997</v>
      </c>
      <c r="H632" s="104">
        <f>SUM(H471)</f>
        <v>2878428.1799999997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785564.21</v>
      </c>
      <c r="H633" s="104">
        <f>I368</f>
        <v>785564.21000000008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1523637.48</v>
      </c>
      <c r="H634" s="104">
        <f>SUM(G471)</f>
        <v>1523637.48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6327717.0799999991</v>
      </c>
      <c r="H635" s="104">
        <f>SUM(I471)</f>
        <v>6327717.0800000001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756695</v>
      </c>
      <c r="H636" s="164">
        <f>SUM(J467)</f>
        <v>756695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856695</v>
      </c>
      <c r="H639" s="104">
        <f>SUM(G460)</f>
        <v>856695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856695</v>
      </c>
      <c r="H641" s="104">
        <f>SUM(I460)</f>
        <v>856695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756695</v>
      </c>
      <c r="H644" s="104">
        <f>G407</f>
        <v>756695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756695</v>
      </c>
      <c r="H645" s="104">
        <f>L407</f>
        <v>756695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1726474.4700000002</v>
      </c>
      <c r="H646" s="104">
        <f>L207+L225+L243</f>
        <v>1726474.4700000002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835276.19</v>
      </c>
      <c r="H647" s="104">
        <f>(J256+J337)-(J254+J335)</f>
        <v>835276.19000000006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721977.75000000012</v>
      </c>
      <c r="H648" s="104">
        <f>H597</f>
        <v>721977.75000000012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326021.64</v>
      </c>
      <c r="H649" s="104">
        <f>I597</f>
        <v>326021.64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678475.08</v>
      </c>
      <c r="H650" s="104">
        <f>J597</f>
        <v>678475.08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1976.48</v>
      </c>
      <c r="H651" s="104">
        <f>K262+K344</f>
        <v>1976.48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423250</v>
      </c>
      <c r="H653" s="104">
        <f>K264+K345</f>
        <v>423250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750000</v>
      </c>
      <c r="H654" s="104">
        <f>K265+K346</f>
        <v>750000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22013871.109999999</v>
      </c>
      <c r="G659" s="19">
        <f>(L228+L308+L358)</f>
        <v>10304695.489999998</v>
      </c>
      <c r="H659" s="19">
        <f>(L246+L327+L359)</f>
        <v>22817611.079999998</v>
      </c>
      <c r="I659" s="19">
        <f>SUM(F659:H659)</f>
        <v>55136177.679999992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204458.81170737112</v>
      </c>
      <c r="G660" s="19">
        <f>(L358/IF(SUM(L357:L359)=0,1,SUM(L357:L359))*(SUM(G96:G109)))</f>
        <v>157550.88053169166</v>
      </c>
      <c r="H660" s="19">
        <f>(L359/IF(SUM(L357:L359)=0,1,SUM(L357:L359))*(SUM(G96:G109)))</f>
        <v>546965.13776093733</v>
      </c>
      <c r="I660" s="19">
        <f>SUM(F660:H660)</f>
        <v>908974.83000000007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723190.25000000012</v>
      </c>
      <c r="G661" s="19">
        <f>(L225+L305)-(J225+J305)</f>
        <v>326021.64</v>
      </c>
      <c r="H661" s="19">
        <f>(L243+L324)-(J243+J324)</f>
        <v>678475.08</v>
      </c>
      <c r="I661" s="19">
        <f>SUM(F661:H661)</f>
        <v>1727686.9700000002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847155.38</v>
      </c>
      <c r="G662" s="200">
        <f>SUM(G574:G586)+SUM(I601:I603)+L611</f>
        <v>868740.75000000012</v>
      </c>
      <c r="H662" s="200">
        <f>SUM(H574:H586)+SUM(J601:J603)+L612</f>
        <v>1009985.8899999999</v>
      </c>
      <c r="I662" s="19">
        <f>SUM(F662:H662)</f>
        <v>2725882.02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20239066.668292627</v>
      </c>
      <c r="G663" s="19">
        <f>G659-SUM(G660:G662)</f>
        <v>8952382.2194683068</v>
      </c>
      <c r="H663" s="19">
        <f>H659-SUM(H660:H662)</f>
        <v>20582184.972239062</v>
      </c>
      <c r="I663" s="19">
        <f>I659-SUM(I660:I662)</f>
        <v>49773633.859999992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1205.04</v>
      </c>
      <c r="G664" s="249">
        <v>602.26</v>
      </c>
      <c r="H664" s="249">
        <v>1533.9</v>
      </c>
      <c r="I664" s="19">
        <f>SUM(F664:H664)</f>
        <v>3341.2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16795.349999999999</v>
      </c>
      <c r="G666" s="19">
        <f>ROUND(G663/G664,2)</f>
        <v>14864.65</v>
      </c>
      <c r="H666" s="19">
        <f>ROUND(H663/H664,2)</f>
        <v>13418.21</v>
      </c>
      <c r="I666" s="19">
        <f>ROUND(I663/I664,2)</f>
        <v>14896.93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15.1</v>
      </c>
      <c r="I669" s="19">
        <f>SUM(F669:H669)</f>
        <v>15.1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16795.349999999999</v>
      </c>
      <c r="G671" s="19">
        <f>ROUND((G663+G668)/(G664+G669),2)</f>
        <v>14864.65</v>
      </c>
      <c r="H671" s="19">
        <f>ROUND((H663+H668)/(H664+H669),2)</f>
        <v>13287.4</v>
      </c>
      <c r="I671" s="19">
        <f>ROUND((I663+I668)/(I664+I669),2)</f>
        <v>14829.91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KEENE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14387684.359999999</v>
      </c>
      <c r="C9" s="230">
        <f>'DOE25'!G196+'DOE25'!G214+'DOE25'!G232+'DOE25'!G275+'DOE25'!G294+'DOE25'!G313</f>
        <v>6032115.0499999998</v>
      </c>
    </row>
    <row r="10" spans="1:3" x14ac:dyDescent="0.2">
      <c r="A10" t="s">
        <v>779</v>
      </c>
      <c r="B10" s="241">
        <v>12283635.18</v>
      </c>
      <c r="C10" s="241">
        <v>5636843.46</v>
      </c>
    </row>
    <row r="11" spans="1:3" x14ac:dyDescent="0.2">
      <c r="A11" t="s">
        <v>780</v>
      </c>
      <c r="B11" s="241">
        <v>612755.37</v>
      </c>
      <c r="C11" s="241">
        <v>281187.62</v>
      </c>
    </row>
    <row r="12" spans="1:3" x14ac:dyDescent="0.2">
      <c r="A12" t="s">
        <v>781</v>
      </c>
      <c r="B12" s="241">
        <v>1491293.81</v>
      </c>
      <c r="C12" s="241">
        <v>114083.97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14387684.359999999</v>
      </c>
      <c r="C13" s="232">
        <f>SUM(C10:C12)</f>
        <v>6032115.0499999998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5684775.5700000003</v>
      </c>
      <c r="C18" s="230">
        <f>'DOE25'!G197+'DOE25'!G215+'DOE25'!G233+'DOE25'!G276+'DOE25'!G295+'DOE25'!G314</f>
        <v>2399734.71</v>
      </c>
    </row>
    <row r="19" spans="1:3" x14ac:dyDescent="0.2">
      <c r="A19" t="s">
        <v>779</v>
      </c>
      <c r="B19" s="241">
        <v>2942698.55</v>
      </c>
      <c r="C19" s="241">
        <v>1693902.34</v>
      </c>
    </row>
    <row r="20" spans="1:3" x14ac:dyDescent="0.2">
      <c r="A20" t="s">
        <v>780</v>
      </c>
      <c r="B20" s="241">
        <v>993858.45</v>
      </c>
      <c r="C20" s="241">
        <v>572093.65</v>
      </c>
    </row>
    <row r="21" spans="1:3" x14ac:dyDescent="0.2">
      <c r="A21" t="s">
        <v>781</v>
      </c>
      <c r="B21" s="241">
        <v>1748218.57</v>
      </c>
      <c r="C21" s="241">
        <v>133738.72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5684775.5700000003</v>
      </c>
      <c r="C22" s="232">
        <f>SUM(C19:C21)</f>
        <v>2399734.7100000004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804420.8</v>
      </c>
      <c r="C27" s="235">
        <f>'DOE25'!G198+'DOE25'!G216+'DOE25'!G234+'DOE25'!G277+'DOE25'!G296+'DOE25'!G315</f>
        <v>379097.04000000004</v>
      </c>
    </row>
    <row r="28" spans="1:3" x14ac:dyDescent="0.2">
      <c r="A28" t="s">
        <v>779</v>
      </c>
      <c r="B28" s="241">
        <v>758309.74</v>
      </c>
      <c r="C28" s="241">
        <v>357365</v>
      </c>
    </row>
    <row r="29" spans="1:3" x14ac:dyDescent="0.2">
      <c r="A29" t="s">
        <v>780</v>
      </c>
      <c r="B29" s="241">
        <v>46111.06</v>
      </c>
      <c r="C29" s="241">
        <v>21732.04</v>
      </c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804420.8</v>
      </c>
      <c r="C31" s="232">
        <f>SUM(C28:C30)</f>
        <v>379097.04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431759.64999999997</v>
      </c>
      <c r="C36" s="236">
        <f>'DOE25'!G199+'DOE25'!G217+'DOE25'!G235+'DOE25'!G278+'DOE25'!G297+'DOE25'!G316</f>
        <v>83097.650000000009</v>
      </c>
    </row>
    <row r="37" spans="1:3" x14ac:dyDescent="0.2">
      <c r="A37" t="s">
        <v>779</v>
      </c>
      <c r="B37" s="241">
        <v>330625.31</v>
      </c>
      <c r="C37" s="241">
        <v>63633.06</v>
      </c>
    </row>
    <row r="38" spans="1:3" x14ac:dyDescent="0.2">
      <c r="A38" t="s">
        <v>780</v>
      </c>
      <c r="B38" s="241">
        <v>4000</v>
      </c>
      <c r="C38" s="241">
        <v>769.85</v>
      </c>
    </row>
    <row r="39" spans="1:3" x14ac:dyDescent="0.2">
      <c r="A39" t="s">
        <v>781</v>
      </c>
      <c r="B39" s="241">
        <v>97134.34</v>
      </c>
      <c r="C39" s="241">
        <v>18694.740000000002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431759.65</v>
      </c>
      <c r="C40" s="232">
        <f>SUM(C37:C39)</f>
        <v>83097.649999999994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K49" sqref="K4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KEENE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32241501.100000001</v>
      </c>
      <c r="D5" s="20">
        <f>SUM('DOE25'!L196:L199)+SUM('DOE25'!L214:L217)+SUM('DOE25'!L232:L235)-F5-G5</f>
        <v>32033124.010000002</v>
      </c>
      <c r="E5" s="244"/>
      <c r="F5" s="256">
        <f>SUM('DOE25'!J196:J199)+SUM('DOE25'!J214:J217)+SUM('DOE25'!J232:J235)</f>
        <v>168933.54</v>
      </c>
      <c r="G5" s="53">
        <f>SUM('DOE25'!K196:K199)+SUM('DOE25'!K214:K217)+SUM('DOE25'!K232:K235)</f>
        <v>39443.550000000003</v>
      </c>
      <c r="H5" s="260"/>
    </row>
    <row r="6" spans="1:9" x14ac:dyDescent="0.2">
      <c r="A6" s="32">
        <v>2100</v>
      </c>
      <c r="B6" t="s">
        <v>801</v>
      </c>
      <c r="C6" s="246">
        <f t="shared" si="0"/>
        <v>4926165.5</v>
      </c>
      <c r="D6" s="20">
        <f>'DOE25'!L201+'DOE25'!L219+'DOE25'!L237-F6-G6</f>
        <v>4923893.5199999996</v>
      </c>
      <c r="E6" s="244"/>
      <c r="F6" s="256">
        <f>'DOE25'!J201+'DOE25'!J219+'DOE25'!J237</f>
        <v>1796.98</v>
      </c>
      <c r="G6" s="53">
        <f>'DOE25'!K201+'DOE25'!K219+'DOE25'!K237</f>
        <v>475</v>
      </c>
      <c r="H6" s="260"/>
    </row>
    <row r="7" spans="1:9" x14ac:dyDescent="0.2">
      <c r="A7" s="32">
        <v>2200</v>
      </c>
      <c r="B7" t="s">
        <v>834</v>
      </c>
      <c r="C7" s="246">
        <f t="shared" si="0"/>
        <v>1236164.0899999999</v>
      </c>
      <c r="D7" s="20">
        <f>'DOE25'!L202+'DOE25'!L220+'DOE25'!L238-F7-G7</f>
        <v>1208405.4799999997</v>
      </c>
      <c r="E7" s="244"/>
      <c r="F7" s="256">
        <f>'DOE25'!J202+'DOE25'!J220+'DOE25'!J238</f>
        <v>21727.01</v>
      </c>
      <c r="G7" s="53">
        <f>'DOE25'!K202+'DOE25'!K220+'DOE25'!K238</f>
        <v>6031.6</v>
      </c>
      <c r="H7" s="260"/>
    </row>
    <row r="8" spans="1:9" x14ac:dyDescent="0.2">
      <c r="A8" s="32">
        <v>2300</v>
      </c>
      <c r="B8" t="s">
        <v>802</v>
      </c>
      <c r="C8" s="246">
        <f t="shared" si="0"/>
        <v>1766604.9900000005</v>
      </c>
      <c r="D8" s="244"/>
      <c r="E8" s="20">
        <f>'DOE25'!L203+'DOE25'!L221+'DOE25'!L239-F8-G8-D9-D11</f>
        <v>1720747.4800000004</v>
      </c>
      <c r="F8" s="256">
        <f>'DOE25'!J203+'DOE25'!J221+'DOE25'!J239</f>
        <v>1114.05</v>
      </c>
      <c r="G8" s="53">
        <f>'DOE25'!K203+'DOE25'!K221+'DOE25'!K239</f>
        <v>44743.46</v>
      </c>
      <c r="H8" s="260"/>
    </row>
    <row r="9" spans="1:9" x14ac:dyDescent="0.2">
      <c r="A9" s="32">
        <v>2310</v>
      </c>
      <c r="B9" t="s">
        <v>818</v>
      </c>
      <c r="C9" s="246">
        <f t="shared" si="0"/>
        <v>333929.17</v>
      </c>
      <c r="D9" s="245">
        <v>333929.17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17800</v>
      </c>
      <c r="D10" s="244"/>
      <c r="E10" s="245">
        <v>17800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227593.73</v>
      </c>
      <c r="D11" s="245">
        <v>227593.73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3069221.97</v>
      </c>
      <c r="D12" s="20">
        <f>'DOE25'!L204+'DOE25'!L222+'DOE25'!L240-F12-G12</f>
        <v>3035109.0500000003</v>
      </c>
      <c r="E12" s="244"/>
      <c r="F12" s="256">
        <f>'DOE25'!J204+'DOE25'!J222+'DOE25'!J240</f>
        <v>18870.05</v>
      </c>
      <c r="G12" s="53">
        <f>'DOE25'!K204+'DOE25'!K222+'DOE25'!K240</f>
        <v>15242.87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32328.799999999999</v>
      </c>
      <c r="D13" s="244"/>
      <c r="E13" s="20">
        <f>'DOE25'!L205+'DOE25'!L223+'DOE25'!L241-F13-G13</f>
        <v>24960</v>
      </c>
      <c r="F13" s="256">
        <f>'DOE25'!J205+'DOE25'!J223+'DOE25'!J241</f>
        <v>0</v>
      </c>
      <c r="G13" s="53">
        <f>'DOE25'!K205+'DOE25'!K223+'DOE25'!K241</f>
        <v>7368.8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4600943.03</v>
      </c>
      <c r="D14" s="20">
        <f>'DOE25'!L206+'DOE25'!L224+'DOE25'!L242-F14-G14</f>
        <v>4550805.4000000004</v>
      </c>
      <c r="E14" s="244"/>
      <c r="F14" s="256">
        <f>'DOE25'!J206+'DOE25'!J224+'DOE25'!J242</f>
        <v>48496.14</v>
      </c>
      <c r="G14" s="53">
        <f>'DOE25'!K206+'DOE25'!K224+'DOE25'!K242</f>
        <v>1641.49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1726474.4700000002</v>
      </c>
      <c r="D15" s="20">
        <f>'DOE25'!L207+'DOE25'!L225+'DOE25'!L243-F15-G15</f>
        <v>1726474.4700000002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1012634.1000000001</v>
      </c>
      <c r="D16" s="244"/>
      <c r="E16" s="20">
        <f>'DOE25'!L208+'DOE25'!L226+'DOE25'!L244-F16-G16</f>
        <v>669474.05000000005</v>
      </c>
      <c r="F16" s="256">
        <f>'DOE25'!J208+'DOE25'!J226+'DOE25'!J244</f>
        <v>343160.05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3650.68</v>
      </c>
      <c r="D22" s="244"/>
      <c r="E22" s="244"/>
      <c r="F22" s="256">
        <f>'DOE25'!L254+'DOE25'!L335</f>
        <v>3650.68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3940120</v>
      </c>
      <c r="D25" s="244"/>
      <c r="E25" s="244"/>
      <c r="F25" s="259"/>
      <c r="G25" s="257"/>
      <c r="H25" s="258">
        <f>'DOE25'!L259+'DOE25'!L260+'DOE25'!L340+'DOE25'!L341</f>
        <v>3940120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776839.57</v>
      </c>
      <c r="D29" s="20">
        <f>'DOE25'!L357+'DOE25'!L358+'DOE25'!L359-'DOE25'!I366-F29-G29</f>
        <v>766564.89999999991</v>
      </c>
      <c r="E29" s="244"/>
      <c r="F29" s="256">
        <f>'DOE25'!J357+'DOE25'!J358+'DOE25'!J359</f>
        <v>3803.36</v>
      </c>
      <c r="G29" s="53">
        <f>'DOE25'!K357+'DOE25'!K358+'DOE25'!K359</f>
        <v>6471.31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2873404.1799999997</v>
      </c>
      <c r="D31" s="20">
        <f>'DOE25'!L289+'DOE25'!L308+'DOE25'!L327+'DOE25'!L332+'DOE25'!L333+'DOE25'!L334-F31-G31</f>
        <v>2530485.7999999998</v>
      </c>
      <c r="E31" s="244"/>
      <c r="F31" s="256">
        <f>'DOE25'!J289+'DOE25'!J308+'DOE25'!J327+'DOE25'!J332+'DOE25'!J333+'DOE25'!J334</f>
        <v>231178.37</v>
      </c>
      <c r="G31" s="53">
        <f>'DOE25'!K289+'DOE25'!K308+'DOE25'!K327+'DOE25'!K332+'DOE25'!K333+'DOE25'!K334</f>
        <v>111740.01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51336385.529999986</v>
      </c>
      <c r="E33" s="247">
        <f>SUM(E5:E31)</f>
        <v>2432981.5300000003</v>
      </c>
      <c r="F33" s="247">
        <f>SUM(F5:F31)</f>
        <v>842730.2300000001</v>
      </c>
      <c r="G33" s="247">
        <f>SUM(G5:G31)</f>
        <v>233158.09</v>
      </c>
      <c r="H33" s="247">
        <f>SUM(H5:H31)</f>
        <v>3940120</v>
      </c>
    </row>
    <row r="35" spans="2:8" ht="12" thickBot="1" x14ac:dyDescent="0.25">
      <c r="B35" s="254" t="s">
        <v>847</v>
      </c>
      <c r="D35" s="255">
        <f>E33</f>
        <v>2432981.5300000003</v>
      </c>
      <c r="E35" s="250"/>
    </row>
    <row r="36" spans="2:8" ht="12" thickTop="1" x14ac:dyDescent="0.2">
      <c r="B36" t="s">
        <v>815</v>
      </c>
      <c r="D36" s="20">
        <f>D33</f>
        <v>51336385.529999986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6" activePane="bottomLeft" state="frozen"/>
      <selection pane="bottomLeft" activeCell="C140" sqref="C14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2771871.54</v>
      </c>
      <c r="D8" s="95">
        <f>'DOE25'!G9</f>
        <v>215267.98</v>
      </c>
      <c r="E8" s="95">
        <f>'DOE25'!H9</f>
        <v>226043.05000000002</v>
      </c>
      <c r="F8" s="95">
        <f>'DOE25'!I9</f>
        <v>2978870.97</v>
      </c>
      <c r="G8" s="95">
        <f>'DOE25'!J9</f>
        <v>856695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470824.44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180379.47</v>
      </c>
      <c r="D12" s="95">
        <f>'DOE25'!G13</f>
        <v>0</v>
      </c>
      <c r="E12" s="95">
        <f>'DOE25'!H13</f>
        <v>502865.59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12180.26</v>
      </c>
      <c r="D13" s="95">
        <f>'DOE25'!G14</f>
        <v>7136.79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1968</v>
      </c>
      <c r="D16" s="95">
        <f>'DOE25'!G17</f>
        <v>0</v>
      </c>
      <c r="E16" s="95">
        <f>'DOE25'!H17</f>
        <v>23140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3437223.71</v>
      </c>
      <c r="D18" s="41">
        <f>SUM(D8:D17)</f>
        <v>222404.77000000002</v>
      </c>
      <c r="E18" s="41">
        <f>SUM(E8:E17)</f>
        <v>752048.64000000001</v>
      </c>
      <c r="F18" s="41">
        <f>SUM(F8:F17)</f>
        <v>2978870.97</v>
      </c>
      <c r="G18" s="41">
        <f>SUM(G8:G17)</f>
        <v>856695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470824.44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7996.72</v>
      </c>
      <c r="D22" s="95">
        <f>'DOE25'!G23</f>
        <v>0</v>
      </c>
      <c r="E22" s="95">
        <f>'DOE25'!H23</f>
        <v>1905.43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220422.08</v>
      </c>
      <c r="D23" s="95">
        <f>'DOE25'!G24</f>
        <v>44.28</v>
      </c>
      <c r="E23" s="95">
        <f>'DOE25'!H24</f>
        <v>13376.91</v>
      </c>
      <c r="F23" s="95">
        <f>'DOE25'!I24</f>
        <v>267250.25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50000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75166.37</v>
      </c>
      <c r="D27" s="95">
        <f>'DOE25'!G28</f>
        <v>945.09</v>
      </c>
      <c r="E27" s="95">
        <f>'DOE25'!H28</f>
        <v>2298.54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181.4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3973</v>
      </c>
      <c r="D29" s="95">
        <f>'DOE25'!G30</f>
        <v>19098.189999999999</v>
      </c>
      <c r="E29" s="95">
        <f>'DOE25'!H30</f>
        <v>100800.97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307739.57</v>
      </c>
      <c r="D31" s="41">
        <f>SUM(D21:D30)</f>
        <v>20087.559999999998</v>
      </c>
      <c r="E31" s="41">
        <f>SUM(E21:E30)</f>
        <v>589206.28999999992</v>
      </c>
      <c r="F31" s="41">
        <f>SUM(F21:F30)</f>
        <v>317250.25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1968</v>
      </c>
      <c r="D35" s="95">
        <f>'DOE25'!G36</f>
        <v>0</v>
      </c>
      <c r="E35" s="95">
        <f>'DOE25'!H36</f>
        <v>1300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202317.21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2407262.36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160264.85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856695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418091.73</v>
      </c>
      <c r="D47" s="95">
        <f>'DOE25'!G48</f>
        <v>0</v>
      </c>
      <c r="E47" s="95">
        <f>'DOE25'!H48</f>
        <v>1277.5</v>
      </c>
      <c r="F47" s="95">
        <f>'DOE25'!I48</f>
        <v>254358.36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2609424.41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3129484.14</v>
      </c>
      <c r="D49" s="41">
        <f>SUM(D34:D48)</f>
        <v>202317.21</v>
      </c>
      <c r="E49" s="41">
        <f>SUM(E34:E48)</f>
        <v>162842.35</v>
      </c>
      <c r="F49" s="41">
        <f>SUM(F34:F48)</f>
        <v>2661620.7199999997</v>
      </c>
      <c r="G49" s="41">
        <f>SUM(G34:G48)</f>
        <v>856695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3437223.71</v>
      </c>
      <c r="D50" s="41">
        <f>D49+D31</f>
        <v>222404.77</v>
      </c>
      <c r="E50" s="41">
        <f>E49+E31</f>
        <v>752048.6399999999</v>
      </c>
      <c r="F50" s="41">
        <f>F49+F31</f>
        <v>2978870.9699999997</v>
      </c>
      <c r="G50" s="41">
        <f>G49+G31</f>
        <v>856695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24785466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10630498.050000001</v>
      </c>
      <c r="D56" s="24" t="s">
        <v>289</v>
      </c>
      <c r="E56" s="95">
        <f>'DOE25'!H78</f>
        <v>454142.18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7050.5</v>
      </c>
      <c r="D58" s="95">
        <f>'DOE25'!G95</f>
        <v>198.83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890839.83000000007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287932.04000000004</v>
      </c>
      <c r="D60" s="95">
        <f>SUM('DOE25'!G97:G109)</f>
        <v>18135</v>
      </c>
      <c r="E60" s="95">
        <f>SUM('DOE25'!H97:H109)</f>
        <v>153054.44</v>
      </c>
      <c r="F60" s="95">
        <f>SUM('DOE25'!I97:I109)</f>
        <v>85620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10925480.59</v>
      </c>
      <c r="D61" s="130">
        <f>SUM(D56:D60)</f>
        <v>909173.66</v>
      </c>
      <c r="E61" s="130">
        <f>SUM(E56:E60)</f>
        <v>607196.62</v>
      </c>
      <c r="F61" s="130">
        <f>SUM(F56:F60)</f>
        <v>85620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35710946.590000004</v>
      </c>
      <c r="D62" s="22">
        <f>D55+D61</f>
        <v>909173.66</v>
      </c>
      <c r="E62" s="22">
        <f>E55+E61</f>
        <v>607196.62</v>
      </c>
      <c r="F62" s="22">
        <f>F55+F61</f>
        <v>85620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10543634.640000001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4298528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9135.36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46017.99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14897315.99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2194360.04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451377.17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123250.89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11728.46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2768988.1</v>
      </c>
      <c r="D77" s="130">
        <f>SUM(D71:D76)</f>
        <v>11728.46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17666304.09</v>
      </c>
      <c r="D80" s="130">
        <f>SUM(D78:D79)+D77+D69</f>
        <v>11728.46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736231.69</v>
      </c>
      <c r="D87" s="95">
        <f>SUM('DOE25'!G152:G160)</f>
        <v>583455.47</v>
      </c>
      <c r="E87" s="95">
        <f>SUM('DOE25'!H152:H160)</f>
        <v>2243966.8199999998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736231.69</v>
      </c>
      <c r="D90" s="131">
        <f>SUM(D84:D89)</f>
        <v>583455.47</v>
      </c>
      <c r="E90" s="131">
        <f>SUM(E84:E89)</f>
        <v>2243966.8199999998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66575.05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1976.48</v>
      </c>
      <c r="E95" s="95">
        <f>'DOE25'!H178</f>
        <v>0</v>
      </c>
      <c r="F95" s="95">
        <f>'DOE25'!I178</f>
        <v>423250</v>
      </c>
      <c r="G95" s="95">
        <f>'DOE25'!J178</f>
        <v>750000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180900.81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6695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1296000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1476900.81</v>
      </c>
      <c r="D102" s="86">
        <f>SUM(D92:D101)</f>
        <v>1976.48</v>
      </c>
      <c r="E102" s="86">
        <f>SUM(E92:E101)</f>
        <v>0</v>
      </c>
      <c r="F102" s="86">
        <f>SUM(F92:F101)</f>
        <v>489825.05</v>
      </c>
      <c r="G102" s="86">
        <f>SUM(G92:G101)</f>
        <v>756695</v>
      </c>
    </row>
    <row r="103" spans="1:7" ht="12.75" thickTop="1" thickBot="1" x14ac:dyDescent="0.25">
      <c r="A103" s="33" t="s">
        <v>765</v>
      </c>
      <c r="C103" s="86">
        <f>C62+C80+C90+C102</f>
        <v>55590383.180000007</v>
      </c>
      <c r="D103" s="86">
        <f>D62+D80+D90+D102</f>
        <v>1506334.0699999998</v>
      </c>
      <c r="E103" s="86">
        <f>E62+E80+E90+E102</f>
        <v>2851163.44</v>
      </c>
      <c r="F103" s="86">
        <f>F62+F80+F90+F102</f>
        <v>575445.05000000005</v>
      </c>
      <c r="G103" s="86">
        <f>G62+G80+G102</f>
        <v>756695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20540532.210000001</v>
      </c>
      <c r="D108" s="24" t="s">
        <v>289</v>
      </c>
      <c r="E108" s="95">
        <f>('DOE25'!L275)+('DOE25'!L294)+('DOE25'!L313)</f>
        <v>989076.14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9794376.5899999999</v>
      </c>
      <c r="D109" s="24" t="s">
        <v>289</v>
      </c>
      <c r="E109" s="95">
        <f>('DOE25'!L276)+('DOE25'!L295)+('DOE25'!L314)</f>
        <v>448749.06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1247780.2500000002</v>
      </c>
      <c r="D110" s="24" t="s">
        <v>289</v>
      </c>
      <c r="E110" s="95">
        <f>('DOE25'!L277)+('DOE25'!L296)+('DOE25'!L315)</f>
        <v>80532.800000000003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658812.05000000005</v>
      </c>
      <c r="D111" s="24" t="s">
        <v>289</v>
      </c>
      <c r="E111" s="95">
        <f>+('DOE25'!L278)+('DOE25'!L297)+('DOE25'!L316)</f>
        <v>52730.99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5024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434424.93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32241501.100000001</v>
      </c>
      <c r="D114" s="86">
        <f>SUM(D108:D113)</f>
        <v>0</v>
      </c>
      <c r="E114" s="86">
        <f>SUM(E108:E113)</f>
        <v>2010537.92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4926165.5</v>
      </c>
      <c r="D117" s="24" t="s">
        <v>289</v>
      </c>
      <c r="E117" s="95">
        <f>+('DOE25'!L280)+('DOE25'!L299)+('DOE25'!L318)</f>
        <v>161498.37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1236164.0899999999</v>
      </c>
      <c r="D118" s="24" t="s">
        <v>289</v>
      </c>
      <c r="E118" s="95">
        <f>+('DOE25'!L281)+('DOE25'!L300)+('DOE25'!L319)</f>
        <v>482113.78999999992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2328127.89</v>
      </c>
      <c r="D119" s="24" t="s">
        <v>289</v>
      </c>
      <c r="E119" s="95">
        <f>+('DOE25'!L282)+('DOE25'!L301)+('DOE25'!L320)</f>
        <v>91716.799999999988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3069221.97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32328.799999999999</v>
      </c>
      <c r="D121" s="24" t="s">
        <v>289</v>
      </c>
      <c r="E121" s="95">
        <f>+('DOE25'!L284)+('DOE25'!L303)+('DOE25'!L322)</f>
        <v>92258.45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4600943.03</v>
      </c>
      <c r="D122" s="24" t="s">
        <v>289</v>
      </c>
      <c r="E122" s="95">
        <f>+('DOE25'!L285)+('DOE25'!L304)+('DOE25'!L323)</f>
        <v>39090.35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1726474.4700000002</v>
      </c>
      <c r="D123" s="24" t="s">
        <v>289</v>
      </c>
      <c r="E123" s="95">
        <f>+('DOE25'!L286)+('DOE25'!L305)+('DOE25'!L324)</f>
        <v>1212.5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1012634.1000000001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1523637.48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18932059.850000001</v>
      </c>
      <c r="D127" s="86">
        <f>SUM(D117:D126)</f>
        <v>1523637.48</v>
      </c>
      <c r="E127" s="86">
        <f>SUM(E117:E126)</f>
        <v>867890.25999999989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3650.68</v>
      </c>
      <c r="D129" s="24" t="s">
        <v>289</v>
      </c>
      <c r="E129" s="129">
        <f>'DOE25'!L335</f>
        <v>0</v>
      </c>
      <c r="F129" s="129">
        <f>SUM('DOE25'!L373:'DOE25'!L379)</f>
        <v>6140121.2699999996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3383704.94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556415.06000000006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187595.81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1976.48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423250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756695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-6695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5118997.16</v>
      </c>
      <c r="D143" s="141">
        <f>SUM(D129:D142)</f>
        <v>0</v>
      </c>
      <c r="E143" s="141">
        <f>SUM(E129:E142)</f>
        <v>0</v>
      </c>
      <c r="F143" s="141">
        <f>SUM(F129:F142)</f>
        <v>6327717.0799999991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56292558.109999999</v>
      </c>
      <c r="D144" s="86">
        <f>(D114+D127+D143)</f>
        <v>1523637.48</v>
      </c>
      <c r="E144" s="86">
        <f>(E114+E127+E143)</f>
        <v>2878428.1799999997</v>
      </c>
      <c r="F144" s="86">
        <f>(F114+F127+F143)</f>
        <v>6327717.0799999991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10</v>
      </c>
      <c r="E150" s="153">
        <f>'DOE25'!I489</f>
        <v>29</v>
      </c>
      <c r="F150" s="153">
        <f>'DOE25'!J489</f>
        <v>29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07/99</v>
      </c>
      <c r="C151" s="152" t="str">
        <f>'DOE25'!G490</f>
        <v>08/02</v>
      </c>
      <c r="D151" s="152" t="str">
        <f>'DOE25'!H490</f>
        <v>08/06</v>
      </c>
      <c r="E151" s="152" t="str">
        <f>'DOE25'!I490</f>
        <v>07/10</v>
      </c>
      <c r="F151" s="152" t="str">
        <f>'DOE25'!J490</f>
        <v>07/10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08/19</v>
      </c>
      <c r="C152" s="152" t="str">
        <f>'DOE25'!G491</f>
        <v>08/12</v>
      </c>
      <c r="D152" s="152" t="str">
        <f>'DOE25'!H491</f>
        <v>08/16</v>
      </c>
      <c r="E152" s="152" t="str">
        <f>'DOE25'!I491</f>
        <v>08/39</v>
      </c>
      <c r="F152" s="152" t="str">
        <f>'DOE25'!J491</f>
        <v>08/39</v>
      </c>
      <c r="G152" s="24" t="s">
        <v>289</v>
      </c>
    </row>
    <row r="153" spans="1:9" x14ac:dyDescent="0.2">
      <c r="A153" s="136" t="s">
        <v>30</v>
      </c>
      <c r="B153" s="137">
        <f>'DOE25'!F492</f>
        <v>17500000</v>
      </c>
      <c r="C153" s="137">
        <f>'DOE25'!G492</f>
        <v>1500000</v>
      </c>
      <c r="D153" s="137">
        <f>'DOE25'!H492</f>
        <v>1225000</v>
      </c>
      <c r="E153" s="137">
        <f>'DOE25'!I492</f>
        <v>35115529.659999996</v>
      </c>
      <c r="F153" s="137">
        <f>'DOE25'!J492</f>
        <v>1817970.34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3.23</v>
      </c>
      <c r="D154" s="137">
        <f>'DOE25'!H493</f>
        <v>3.79</v>
      </c>
      <c r="E154" s="137">
        <f>'DOE25'!I493</f>
        <v>4.4400000000000004</v>
      </c>
      <c r="F154" s="137">
        <f>'DOE25'!J493</f>
        <v>4.4400000000000004</v>
      </c>
      <c r="G154" s="24" t="s">
        <v>289</v>
      </c>
    </row>
    <row r="155" spans="1:9" x14ac:dyDescent="0.2">
      <c r="A155" s="22" t="s">
        <v>32</v>
      </c>
      <c r="B155" s="137">
        <f>'DOE25'!F494</f>
        <v>7875000</v>
      </c>
      <c r="C155" s="137">
        <f>'DOE25'!G494</f>
        <v>300000</v>
      </c>
      <c r="D155" s="137">
        <f>'DOE25'!H494</f>
        <v>725000</v>
      </c>
      <c r="E155" s="137">
        <f>'DOE25'!I494</f>
        <v>34213962.899999999</v>
      </c>
      <c r="F155" s="137">
        <f>'DOE25'!J494</f>
        <v>1771295.21</v>
      </c>
      <c r="G155" s="138">
        <f>SUM(B155:F155)</f>
        <v>44885258.109999999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875000</v>
      </c>
      <c r="C157" s="137">
        <f>'DOE25'!G496</f>
        <v>150000</v>
      </c>
      <c r="D157" s="137">
        <f>'DOE25'!H496</f>
        <v>125000</v>
      </c>
      <c r="E157" s="137">
        <f>'DOE25'!I496</f>
        <v>2123755.7400000002</v>
      </c>
      <c r="F157" s="137">
        <f>'DOE25'!J496</f>
        <v>109949.20999999999</v>
      </c>
      <c r="G157" s="138">
        <f t="shared" si="0"/>
        <v>3383704.95</v>
      </c>
    </row>
    <row r="158" spans="1:9" x14ac:dyDescent="0.2">
      <c r="A158" s="22" t="s">
        <v>35</v>
      </c>
      <c r="B158" s="137">
        <f>'DOE25'!F497</f>
        <v>7000000</v>
      </c>
      <c r="C158" s="137">
        <f>'DOE25'!G497</f>
        <v>150000</v>
      </c>
      <c r="D158" s="137">
        <f>'DOE25'!H497</f>
        <v>600000</v>
      </c>
      <c r="E158" s="137">
        <f>'DOE25'!I497</f>
        <v>32090207.16</v>
      </c>
      <c r="F158" s="137">
        <f>'DOE25'!J497</f>
        <v>1661346</v>
      </c>
      <c r="G158" s="138">
        <f t="shared" si="0"/>
        <v>41501553.159999996</v>
      </c>
    </row>
    <row r="159" spans="1:9" x14ac:dyDescent="0.2">
      <c r="A159" s="22" t="s">
        <v>36</v>
      </c>
      <c r="B159" s="137">
        <f>'DOE25'!F498</f>
        <v>1470000</v>
      </c>
      <c r="C159" s="137">
        <f>'DOE25'!G498</f>
        <v>2700</v>
      </c>
      <c r="D159" s="137">
        <f>'DOE25'!H498</f>
        <v>57000</v>
      </c>
      <c r="E159" s="137">
        <f>'DOE25'!I498</f>
        <v>30890764.809999999</v>
      </c>
      <c r="F159" s="137">
        <f>'DOE25'!J498</f>
        <v>1601113.28</v>
      </c>
      <c r="G159" s="138">
        <f t="shared" si="0"/>
        <v>34021578.089999996</v>
      </c>
    </row>
    <row r="160" spans="1:9" x14ac:dyDescent="0.2">
      <c r="A160" s="22" t="s">
        <v>37</v>
      </c>
      <c r="B160" s="137">
        <f>'DOE25'!F499</f>
        <v>8470000</v>
      </c>
      <c r="C160" s="137">
        <f>'DOE25'!G499</f>
        <v>152700</v>
      </c>
      <c r="D160" s="137">
        <f>'DOE25'!H499</f>
        <v>657000</v>
      </c>
      <c r="E160" s="137">
        <f>'DOE25'!I499</f>
        <v>62980971.969999999</v>
      </c>
      <c r="F160" s="137">
        <f>'DOE25'!J499</f>
        <v>3262459.2800000003</v>
      </c>
      <c r="G160" s="138">
        <f t="shared" si="0"/>
        <v>75523131.25</v>
      </c>
    </row>
    <row r="161" spans="1:7" x14ac:dyDescent="0.2">
      <c r="A161" s="22" t="s">
        <v>38</v>
      </c>
      <c r="B161" s="137">
        <f>'DOE25'!F500</f>
        <v>875000</v>
      </c>
      <c r="C161" s="137">
        <f>'DOE25'!G500</f>
        <v>150000</v>
      </c>
      <c r="D161" s="137">
        <f>'DOE25'!H500</f>
        <v>120000</v>
      </c>
      <c r="E161" s="137">
        <f>'DOE25'!I500</f>
        <v>2028126.98</v>
      </c>
      <c r="F161" s="137">
        <f>'DOE25'!J500</f>
        <v>104998.41</v>
      </c>
      <c r="G161" s="138">
        <f t="shared" si="0"/>
        <v>3278125.39</v>
      </c>
    </row>
    <row r="162" spans="1:7" x14ac:dyDescent="0.2">
      <c r="A162" s="22" t="s">
        <v>39</v>
      </c>
      <c r="B162" s="137">
        <f>'DOE25'!F501</f>
        <v>344531.25</v>
      </c>
      <c r="C162" s="137">
        <f>'DOE25'!G501</f>
        <v>2700</v>
      </c>
      <c r="D162" s="137">
        <f>'DOE25'!H501</f>
        <v>20520</v>
      </c>
      <c r="E162" s="137">
        <f>'DOE25'!I501</f>
        <v>224870.32</v>
      </c>
      <c r="F162" s="137">
        <f>'DOE25'!J501</f>
        <v>11641.79</v>
      </c>
      <c r="G162" s="138">
        <f t="shared" si="0"/>
        <v>604263.3600000001</v>
      </c>
    </row>
    <row r="163" spans="1:7" x14ac:dyDescent="0.2">
      <c r="A163" s="22" t="s">
        <v>246</v>
      </c>
      <c r="B163" s="137">
        <f>'DOE25'!F502</f>
        <v>1219531.25</v>
      </c>
      <c r="C163" s="137">
        <f>'DOE25'!G502</f>
        <v>152700</v>
      </c>
      <c r="D163" s="137">
        <f>'DOE25'!H502</f>
        <v>140520</v>
      </c>
      <c r="E163" s="137">
        <f>'DOE25'!I502</f>
        <v>2252997.2999999998</v>
      </c>
      <c r="F163" s="137">
        <f>'DOE25'!J502</f>
        <v>116640.20000000001</v>
      </c>
      <c r="G163" s="138">
        <f t="shared" si="0"/>
        <v>3882388.75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KEENE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16795</v>
      </c>
    </row>
    <row r="5" spans="1:4" x14ac:dyDescent="0.2">
      <c r="B5" t="s">
        <v>704</v>
      </c>
      <c r="C5" s="179">
        <f>IF('DOE25'!G664+'DOE25'!G669=0,0,ROUND('DOE25'!G671,0))</f>
        <v>14865</v>
      </c>
    </row>
    <row r="6" spans="1:4" x14ac:dyDescent="0.2">
      <c r="B6" t="s">
        <v>62</v>
      </c>
      <c r="C6" s="179">
        <f>IF('DOE25'!H664+'DOE25'!H669=0,0,ROUND('DOE25'!H671,0))</f>
        <v>13287</v>
      </c>
    </row>
    <row r="7" spans="1:4" x14ac:dyDescent="0.2">
      <c r="B7" t="s">
        <v>705</v>
      </c>
      <c r="C7" s="179">
        <f>IF('DOE25'!I664+'DOE25'!I669=0,0,ROUND('DOE25'!I671,0))</f>
        <v>14830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21529608</v>
      </c>
      <c r="D10" s="182">
        <f>ROUND((C10/$C$28)*100,1)</f>
        <v>39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10243126</v>
      </c>
      <c r="D11" s="182">
        <f>ROUND((C11/$C$28)*100,1)</f>
        <v>18.5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1328313</v>
      </c>
      <c r="D12" s="182">
        <f>ROUND((C12/$C$28)*100,1)</f>
        <v>2.4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711543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5087664</v>
      </c>
      <c r="D15" s="182">
        <f t="shared" ref="D15:D27" si="0">ROUND((C15/$C$28)*100,1)</f>
        <v>9.1999999999999993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1718278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3432479</v>
      </c>
      <c r="D17" s="182">
        <f t="shared" si="0"/>
        <v>6.2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3069222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124587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4640033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1727687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5024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434425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ROUND('DOE25'!L260+'DOE25'!L341,0)</f>
        <v>556415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614662.16999999993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55223066.170000002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6143772</v>
      </c>
    </row>
    <row r="30" spans="1:4" x14ac:dyDescent="0.2">
      <c r="B30" s="187" t="s">
        <v>729</v>
      </c>
      <c r="C30" s="180">
        <f>SUM(C28:C29)</f>
        <v>61366838.170000002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3383705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24785466</v>
      </c>
      <c r="D35" s="182">
        <f t="shared" ref="D35:D40" si="1">ROUND((C35/$C$41)*100,1)</f>
        <v>42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11685071.089999989</v>
      </c>
      <c r="D36" s="182">
        <f t="shared" si="1"/>
        <v>19.8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14851298</v>
      </c>
      <c r="D37" s="182">
        <f t="shared" si="1"/>
        <v>25.2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2826735</v>
      </c>
      <c r="D38" s="182">
        <f t="shared" si="1"/>
        <v>4.8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3563654</v>
      </c>
      <c r="D39" s="182">
        <f t="shared" si="1"/>
        <v>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1296000</v>
      </c>
      <c r="D40" s="182">
        <f t="shared" si="1"/>
        <v>2.2000000000000002</v>
      </c>
    </row>
    <row r="41" spans="1:4" x14ac:dyDescent="0.2">
      <c r="B41" s="187" t="s">
        <v>736</v>
      </c>
      <c r="C41" s="180">
        <f>SUM(C35:C40)</f>
        <v>59008224.089999989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KEENE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2012-09-04T17:46:12Z</cp:lastPrinted>
  <dcterms:created xsi:type="dcterms:W3CDTF">1997-12-04T19:04:30Z</dcterms:created>
  <dcterms:modified xsi:type="dcterms:W3CDTF">2012-11-21T14:52:32Z</dcterms:modified>
</cp:coreProperties>
</file>