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0" yWindow="255" windowWidth="1920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B28" i="12" l="1"/>
  <c r="B30" i="12"/>
  <c r="B21" i="12"/>
  <c r="B20" i="12"/>
  <c r="B19" i="12"/>
  <c r="B10" i="12"/>
  <c r="B12" i="12"/>
  <c r="B11" i="12"/>
  <c r="D11" i="13"/>
  <c r="J525" i="1"/>
  <c r="H527" i="1"/>
  <c r="H526" i="1"/>
  <c r="H525" i="1"/>
  <c r="J522" i="1"/>
  <c r="I522" i="1"/>
  <c r="H522" i="1"/>
  <c r="G522" i="1"/>
  <c r="F522" i="1"/>
  <c r="J521" i="1"/>
  <c r="I521" i="1"/>
  <c r="H521" i="1"/>
  <c r="G521" i="1"/>
  <c r="F521" i="1"/>
  <c r="J520" i="1"/>
  <c r="I520" i="1"/>
  <c r="H520" i="1"/>
  <c r="G520" i="1"/>
  <c r="F520" i="1"/>
  <c r="G531" i="1"/>
  <c r="G532" i="1"/>
  <c r="G530" i="1"/>
  <c r="H540" i="1"/>
  <c r="G526" i="1"/>
  <c r="G527" i="1"/>
  <c r="G525" i="1"/>
  <c r="C30" i="12"/>
  <c r="C29" i="12"/>
  <c r="C21" i="12"/>
  <c r="C20" i="12"/>
  <c r="C12" i="12"/>
  <c r="C11" i="12"/>
  <c r="I612" i="1"/>
  <c r="I611" i="1"/>
  <c r="F612" i="1"/>
  <c r="G612" i="1" s="1"/>
  <c r="L612" i="1" s="1"/>
  <c r="F611" i="1"/>
  <c r="G611" i="1" s="1"/>
  <c r="L611" i="1" s="1"/>
  <c r="F610" i="1"/>
  <c r="G610" i="1" s="1"/>
  <c r="I610" i="1"/>
  <c r="H603" i="1"/>
  <c r="H332" i="1"/>
  <c r="J332" i="1"/>
  <c r="J603" i="1"/>
  <c r="I603" i="1"/>
  <c r="J590" i="1"/>
  <c r="I590" i="1"/>
  <c r="H590" i="1"/>
  <c r="C27" i="12"/>
  <c r="C28" i="12" s="1"/>
  <c r="C31" i="12" s="1"/>
  <c r="C18" i="12"/>
  <c r="C19" i="12" s="1"/>
  <c r="C22" i="12" s="1"/>
  <c r="C9" i="12"/>
  <c r="C10" i="12" s="1"/>
  <c r="C13" i="12" s="1"/>
  <c r="C37" i="12"/>
  <c r="B37" i="12"/>
  <c r="J594" i="1"/>
  <c r="J591" i="1"/>
  <c r="I591" i="1"/>
  <c r="H591" i="1"/>
  <c r="I594" i="1"/>
  <c r="I593" i="1"/>
  <c r="H594" i="1"/>
  <c r="H367" i="1"/>
  <c r="G367" i="1"/>
  <c r="F367" i="1"/>
  <c r="F366" i="1"/>
  <c r="G366" i="1"/>
  <c r="H366" i="1"/>
  <c r="F29" i="1"/>
  <c r="F24" i="1"/>
  <c r="F22" i="1"/>
  <c r="F17" i="1"/>
  <c r="F14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B31" i="12"/>
  <c r="B9" i="12"/>
  <c r="B13" i="12"/>
  <c r="B18" i="12"/>
  <c r="B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58" i="2"/>
  <c r="G60" i="2"/>
  <c r="F2" i="1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K549" i="1" s="1"/>
  <c r="L522" i="1"/>
  <c r="F550" i="1" s="1"/>
  <c r="K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E90" i="2" s="1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/>
  <c r="K601" i="1"/>
  <c r="K602" i="1"/>
  <c r="K603" i="1"/>
  <c r="H604" i="1"/>
  <c r="I604" i="1"/>
  <c r="J604" i="1"/>
  <c r="F613" i="1"/>
  <c r="H613" i="1"/>
  <c r="I613" i="1"/>
  <c r="J613" i="1"/>
  <c r="K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J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L350" i="1"/>
  <c r="I661" i="1"/>
  <c r="L289" i="1"/>
  <c r="F659" i="1" s="1"/>
  <c r="C69" i="2"/>
  <c r="C80" i="2" s="1"/>
  <c r="A40" i="12"/>
  <c r="D12" i="13"/>
  <c r="C12" i="13" s="1"/>
  <c r="G8" i="2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F77" i="2"/>
  <c r="F61" i="2"/>
  <c r="F62" i="2" s="1"/>
  <c r="D31" i="2"/>
  <c r="C127" i="2"/>
  <c r="C77" i="2"/>
  <c r="D49" i="2"/>
  <c r="D50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E77" i="2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I168" i="1"/>
  <c r="H168" i="1"/>
  <c r="J270" i="1"/>
  <c r="H647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C23" i="10"/>
  <c r="F168" i="1"/>
  <c r="J139" i="1"/>
  <c r="F570" i="1"/>
  <c r="H256" i="1"/>
  <c r="H270" i="1" s="1"/>
  <c r="I551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/>
  <c r="C35" i="10"/>
  <c r="C36" i="10" s="1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C39" i="10"/>
  <c r="H192" i="1"/>
  <c r="G628" i="1" s="1"/>
  <c r="J628" i="1" s="1"/>
  <c r="L564" i="1"/>
  <c r="L570" i="1" s="1"/>
  <c r="G544" i="1"/>
  <c r="L544" i="1"/>
  <c r="H544" i="1"/>
  <c r="C5" i="13"/>
  <c r="C22" i="13"/>
  <c r="F33" i="13"/>
  <c r="C137" i="2"/>
  <c r="C140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36" i="1"/>
  <c r="J636" i="1" s="1"/>
  <c r="H645" i="1"/>
  <c r="J645" i="1" s="1"/>
  <c r="D33" i="13"/>
  <c r="D36" i="13" s="1"/>
  <c r="F139" i="1" l="1"/>
  <c r="F192" i="1" s="1"/>
  <c r="G626" i="1" s="1"/>
  <c r="J626" i="1" s="1"/>
  <c r="G21" i="2"/>
  <c r="G31" i="2" s="1"/>
  <c r="J32" i="1"/>
  <c r="G12" i="2"/>
  <c r="G18" i="2" s="1"/>
  <c r="J19" i="1"/>
  <c r="G620" i="1" s="1"/>
  <c r="G103" i="2"/>
  <c r="G44" i="2"/>
  <c r="J50" i="1"/>
  <c r="I659" i="1"/>
  <c r="K548" i="1"/>
  <c r="K551" i="1" s="1"/>
  <c r="F551" i="1"/>
  <c r="G663" i="1"/>
  <c r="G49" i="2"/>
  <c r="G192" i="1"/>
  <c r="G627" i="1" s="1"/>
  <c r="J627" i="1" s="1"/>
  <c r="E80" i="2"/>
  <c r="D103" i="2"/>
  <c r="J651" i="1"/>
  <c r="G570" i="1"/>
  <c r="I433" i="1"/>
  <c r="G433" i="1"/>
  <c r="I139" i="1"/>
  <c r="I192" i="1" s="1"/>
  <c r="G629" i="1" s="1"/>
  <c r="J629" i="1" s="1"/>
  <c r="L361" i="1"/>
  <c r="G634" i="1" s="1"/>
  <c r="J634" i="1" s="1"/>
  <c r="A31" i="12"/>
  <c r="H662" i="1"/>
  <c r="H663" i="1" s="1"/>
  <c r="C38" i="10"/>
  <c r="C41" i="10" s="1"/>
  <c r="C103" i="2"/>
  <c r="F80" i="2"/>
  <c r="F103" i="2" s="1"/>
  <c r="F544" i="1"/>
  <c r="H433" i="1"/>
  <c r="A22" i="12"/>
  <c r="G662" i="1"/>
  <c r="C143" i="2"/>
  <c r="C144" i="2" s="1"/>
  <c r="E103" i="2"/>
  <c r="J648" i="1"/>
  <c r="C27" i="10"/>
  <c r="C28" i="10" s="1"/>
  <c r="L610" i="1"/>
  <c r="G613" i="1"/>
  <c r="G163" i="2"/>
  <c r="D36" i="10" l="1"/>
  <c r="D38" i="10"/>
  <c r="H671" i="1"/>
  <c r="C6" i="10" s="1"/>
  <c r="H666" i="1"/>
  <c r="G671" i="1"/>
  <c r="C5" i="10" s="1"/>
  <c r="G666" i="1"/>
  <c r="G625" i="1"/>
  <c r="J625" i="1" s="1"/>
  <c r="J51" i="1"/>
  <c r="H620" i="1" s="1"/>
  <c r="J620" i="1" s="1"/>
  <c r="G50" i="2"/>
  <c r="F662" i="1"/>
  <c r="L613" i="1"/>
  <c r="D27" i="10"/>
  <c r="D35" i="10"/>
  <c r="D39" i="10"/>
  <c r="D37" i="10"/>
  <c r="D40" i="10"/>
  <c r="D25" i="10"/>
  <c r="C30" i="10"/>
  <c r="D17" i="10"/>
  <c r="D11" i="10"/>
  <c r="D26" i="10"/>
  <c r="D18" i="10"/>
  <c r="D13" i="10"/>
  <c r="D20" i="10"/>
  <c r="D10" i="10"/>
  <c r="D23" i="10"/>
  <c r="D24" i="10"/>
  <c r="D22" i="10"/>
  <c r="D15" i="10"/>
  <c r="D19" i="10"/>
  <c r="D16" i="10"/>
  <c r="D12" i="10"/>
  <c r="D21" i="10"/>
  <c r="H655" i="1" l="1"/>
  <c r="D28" i="10"/>
  <c r="D41" i="10"/>
  <c r="I662" i="1"/>
  <c r="I663" i="1" s="1"/>
  <c r="F663" i="1"/>
  <c r="F671" i="1" l="1"/>
  <c r="C4" i="10" s="1"/>
  <c r="F666" i="1"/>
  <c r="I671" i="1"/>
  <c r="C7" i="10" s="1"/>
  <c r="I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<sst xmlns="http://schemas.openxmlformats.org/spreadsheetml/2006/main" count="3943" uniqueCount="910">
  <si>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</si>
  <si>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</si>
  <si>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</si>
  <si>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</si>
  <si>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</si>
  <si>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</si>
  <si>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</si>
  <si>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</si>
  <si>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</si>
  <si>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</si>
  <si>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</si>
  <si>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</si>
  <si>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</si>
  <si>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</si>
  <si>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</si>
  <si>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</si>
  <si>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</si>
  <si>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</si>
  <si>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</si>
  <si>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</si>
  <si>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</si>
  <si>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</si>
  <si>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</si>
  <si>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</si>
  <si>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</si>
  <si>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</si>
  <si>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</si>
  <si>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</si>
  <si>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</si>
  <si>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</si>
  <si>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</si>
  <si>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</si>
  <si>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</si>
  <si>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</si>
  <si>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</si>
  <si>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</si>
  <si>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</si>
  <si>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</si>
  <si>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</si>
  <si>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</si>
  <si>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</si>
  <si>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</si>
  <si>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</si>
  <si>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</si>
  <si>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</si>
  <si>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</si>
  <si>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</si>
  <si>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</si>
  <si>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</si>
  <si>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</si>
  <si>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</si>
  <si>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</si>
  <si>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</si>
  <si>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</si>
  <si>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</si>
  <si>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</si>
  <si>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</si>
  <si>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</si>
  <si>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</si>
  <si>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</si>
  <si>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</si>
  <si>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</si>
  <si>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</si>
  <si>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</si>
  <si>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</si>
  <si>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</si>
  <si>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</si>
  <si>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</si>
  <si>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</si>
  <si>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</si>
  <si>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</si>
  <si>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</si>
  <si>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</si>
  <si>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</si>
  <si>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</si>
  <si>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</si>
  <si>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</si>
  <si>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</si>
  <si>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</si>
  <si>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</si>
  <si>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</si>
  <si>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</si>
  <si>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</si>
  <si>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</si>
  <si>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</si>
  <si>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</si>
  <si>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</si>
  <si>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</si>
  <si>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</si>
  <si>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</si>
  <si>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</si>
  <si>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</si>
  <si>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</si>
  <si>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</si>
  <si>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</si>
  <si>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</si>
  <si>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</si>
  <si>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</si>
  <si>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</si>
  <si>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</si>
  <si>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</si>
  <si>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</si>
  <si>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</si>
  <si>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</si>
  <si>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</si>
  <si>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</si>
  <si>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</si>
  <si>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</si>
  <si>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</si>
  <si>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</si>
  <si>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</si>
  <si>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</si>
  <si>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</si>
  <si>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</si>
  <si>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</si>
  <si>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</si>
  <si>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</si>
  <si>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</si>
  <si>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</si>
  <si>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</si>
  <si>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</si>
  <si>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</si>
  <si>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</si>
  <si>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</si>
  <si>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</si>
  <si>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</si>
  <si>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</si>
  <si>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</si>
  <si>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</si>
  <si>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</si>
  <si>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</si>
  <si>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</si>
  <si>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</si>
  <si>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</si>
  <si>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</si>
  <si>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</si>
  <si>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</si>
  <si>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</si>
  <si>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</si>
  <si>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</si>
  <si>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</si>
  <si>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</si>
  <si>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</si>
  <si>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</si>
  <si>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</si>
  <si>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</si>
  <si>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</si>
  <si>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</si>
  <si>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</si>
  <si>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</si>
  <si>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</si>
  <si>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</si>
  <si>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</si>
  <si>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</si>
  <si>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</si>
  <si>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</si>
  <si>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</si>
  <si>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</si>
  <si>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</si>
  <si>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</si>
  <si>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</si>
  <si>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</si>
  <si>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</si>
  <si>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</si>
  <si>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</si>
  <si>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</si>
  <si>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</si>
  <si>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</si>
  <si>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</si>
  <si>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</si>
  <si>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</si>
  <si>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</si>
  <si>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</si>
  <si>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</si>
  <si>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</si>
  <si>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</si>
  <si>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</si>
  <si>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</si>
  <si>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</si>
  <si>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</si>
  <si>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</si>
  <si>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</si>
  <si>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</si>
  <si>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</si>
  <si>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</si>
  <si>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</si>
  <si>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</si>
  <si>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</si>
  <si>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</si>
  <si>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</si>
  <si>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</si>
  <si>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</si>
  <si>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</si>
  <si>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</si>
  <si>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</si>
  <si>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</si>
  <si>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</si>
  <si>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</si>
  <si>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</si>
  <si>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</si>
  <si>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</si>
  <si>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</si>
  <si>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</si>
  <si>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</si>
  <si>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</si>
  <si>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</si>
  <si>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</si>
  <si>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</si>
  <si>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</si>
  <si>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</si>
  <si>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</si>
  <si>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</si>
  <si>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</si>
  <si>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</si>
  <si>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</si>
  <si>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</si>
  <si>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</si>
  <si>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</si>
  <si>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</si>
  <si>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</si>
  <si>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</si>
  <si>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</si>
  <si>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</si>
  <si>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</si>
  <si>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</si>
  <si>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</si>
  <si>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</si>
  <si>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</si>
  <si>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</si>
  <si>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</si>
  <si>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</si>
  <si>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</si>
  <si>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</si>
  <si>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</si>
  <si>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</si>
  <si>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</si>
  <si>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</si>
  <si>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</si>
  <si>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</si>
  <si>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</si>
  <si>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</si>
  <si>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</si>
  <si>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</si>
  <si>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</si>
  <si>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</si>
  <si>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</si>
  <si>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</si>
  <si>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</si>
  <si>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</si>
  <si>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</si>
  <si>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</si>
  <si>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</si>
  <si>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</si>
  <si>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</si>
  <si>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</si>
  <si>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</si>
  <si>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</si>
  <si>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</si>
  <si>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</si>
  <si>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</si>
  <si>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</si>
  <si>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</si>
  <si>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</si>
  <si>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</si>
  <si>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</si>
  <si>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</si>
  <si>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</si>
  <si>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</si>
  <si>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</si>
  <si>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</si>
  <si>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</si>
  <si>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</si>
  <si>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</si>
  <si>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</si>
  <si>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</si>
  <si>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</si>
  <si>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</si>
  <si>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</si>
  <si>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</si>
  <si>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</si>
  <si>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</si>
  <si>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</si>
  <si>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</si>
  <si>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</si>
  <si>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</si>
  <si>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</si>
  <si>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</si>
  <si>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</si>
  <si>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</si>
  <si>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</si>
  <si>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</si>
  <si>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</si>
  <si>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</si>
  <si>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</si>
  <si>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</si>
  <si>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</si>
  <si>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</si>
  <si>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</si>
  <si>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</si>
  <si>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</si>
  <si>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</si>
  <si>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</si>
  <si>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</si>
  <si>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</si>
  <si>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</si>
  <si>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</si>
  <si>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</si>
  <si>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</si>
  <si>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</si>
  <si>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</si>
  <si>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</si>
  <si>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</si>
  <si>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</si>
  <si>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</si>
  <si>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</si>
  <si>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</si>
  <si>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</si>
  <si>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</si>
  <si>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</si>
  <si>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</si>
  <si>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</si>
  <si>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</si>
  <si>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</si>
  <si>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</si>
  <si>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</si>
  <si>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</si>
  <si>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</si>
  <si>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</si>
  <si>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</si>
  <si>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</si>
  <si>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</si>
  <si>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</si>
  <si>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</si>
  <si>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</si>
  <si>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</si>
  <si>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</si>
  <si>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</si>
  <si>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</si>
  <si>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</si>
  <si>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</si>
  <si>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</si>
  <si>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</si>
  <si>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</si>
  <si>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</si>
  <si>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</si>
  <si>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</si>
  <si>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</si>
  <si>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</si>
  <si>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</si>
  <si>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</si>
  <si>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</si>
  <si>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</si>
  <si>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</si>
  <si>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</si>
  <si>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</si>
  <si>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</si>
  <si>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</si>
  <si>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</si>
  <si>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</si>
  <si>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</si>
  <si>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</si>
  <si>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</si>
  <si>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</si>
  <si>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</si>
  <si>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</si>
  <si>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</si>
  <si>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</si>
  <si>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</si>
  <si>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</si>
  <si>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</si>
  <si>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</si>
  <si>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</si>
  <si>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</si>
  <si>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</si>
  <si>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</si>
  <si>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</si>
  <si>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</si>
  <si>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</si>
  <si>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</si>
  <si>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</si>
  <si>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</si>
  <si>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</si>
  <si>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</si>
  <si>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</si>
  <si>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</si>
  <si>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</si>
  <si>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</si>
  <si>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</si>
  <si>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</si>
  <si>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</si>
  <si>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</si>
  <si>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</si>
  <si>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</si>
  <si>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</si>
  <si>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</si>
  <si>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</si>
  <si>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</si>
  <si>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</si>
  <si>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</si>
  <si>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</si>
  <si>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</si>
  <si>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</si>
  <si>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</si>
  <si>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</si>
  <si>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</si>
  <si>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</si>
  <si>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</si>
  <si>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</si>
  <si>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</si>
  <si>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</si>
  <si>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</si>
  <si>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</si>
  <si>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</si>
  <si>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</si>
  <si>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</si>
  <si>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</si>
  <si>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</si>
  <si>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</si>
  <si>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</si>
  <si>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</si>
  <si>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</si>
  <si>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</si>
  <si>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</si>
  <si>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</si>
  <si>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</si>
  <si>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</si>
  <si>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</si>
  <si>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</si>
  <si>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</si>
  <si>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</si>
  <si>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</si>
  <si>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</si>
  <si>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</si>
  <si>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</si>
  <si>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</si>
  <si>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</si>
  <si>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</si>
  <si>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</si>
  <si>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</si>
  <si>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</si>
  <si>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</si>
  <si>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</si>
  <si>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</si>
  <si>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</si>
  <si>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</si>
  <si>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</si>
  <si>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</si>
  <si>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</si>
  <si>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</si>
  <si>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</si>
  <si>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</si>
  <si>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</si>
  <si>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</si>
  <si>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</si>
  <si>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</si>
  <si>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</si>
  <si>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</si>
  <si>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</si>
  <si>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</si>
  <si>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</si>
  <si>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</si>
  <si>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</si>
  <si>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</si>
  <si>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</si>
  <si>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</si>
  <si>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</si>
  <si>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</si>
  <si>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</si>
  <si>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</si>
  <si>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</si>
  <si>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</si>
  <si>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</si>
  <si>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</si>
  <si>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</si>
  <si>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</si>
  <si>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</si>
  <si>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</si>
  <si>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</si>
  <si>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</si>
  <si>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</si>
  <si>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</si>
  <si>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</si>
  <si>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</si>
  <si>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</si>
  <si>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</si>
  <si>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</si>
  <si>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</si>
  <si>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</si>
  <si>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</si>
  <si>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</si>
  <si>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</si>
  <si>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</si>
  <si>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</si>
  <si>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</si>
  <si>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</si>
  <si>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</si>
  <si>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</si>
  <si>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</si>
  <si>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</si>
  <si>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</si>
  <si>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</si>
  <si>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</si>
  <si>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</si>
  <si>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</si>
  <si>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</si>
  <si>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</si>
  <si>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</si>
  <si>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</si>
  <si>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</si>
  <si>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</si>
  <si>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</si>
  <si>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</si>
  <si>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</si>
  <si>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</si>
  <si>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</si>
  <si>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</si>
  <si>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</si>
  <si>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</si>
  <si>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</si>
  <si>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</si>
  <si>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</si>
  <si>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</si>
  <si>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</si>
  <si>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</si>
  <si>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</si>
  <si>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</si>
  <si>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</si>
  <si>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</si>
  <si>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</si>
  <si>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</si>
  <si>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</si>
  <si>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</si>
  <si>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</si>
  <si>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</si>
  <si>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</si>
  <si>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</si>
  <si>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</si>
  <si>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</si>
  <si>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</si>
  <si>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</si>
  <si>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</si>
  <si>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</si>
  <si>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</si>
  <si>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</si>
  <si>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</si>
  <si>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</si>
  <si>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</si>
  <si>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</si>
  <si>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</si>
  <si>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</si>
  <si>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</si>
  <si>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</si>
  <si>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</si>
  <si>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</si>
  <si>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</si>
  <si>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</si>
  <si>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</si>
  <si>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</si>
  <si>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</si>
  <si>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</si>
  <si>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</si>
  <si>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</si>
  <si>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</si>
  <si>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</si>
  <si>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</si>
  <si>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</si>
  <si>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</si>
  <si>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</si>
  <si>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</si>
  <si>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</si>
  <si>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</si>
  <si>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</si>
  <si>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</si>
  <si>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</si>
  <si>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</si>
  <si>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</si>
  <si>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</si>
  <si>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</si>
  <si>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</si>
  <si>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</si>
  <si>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</si>
  <si>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</si>
  <si>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</si>
  <si>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</si>
  <si>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</si>
  <si>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</si>
  <si>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</si>
  <si>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</si>
  <si>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</si>
  <si>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</si>
  <si>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</si>
  <si>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</si>
  <si>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</si>
  <si>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</si>
  <si>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</si>
  <si>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</si>
  <si>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</si>
  <si>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</si>
  <si>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</si>
  <si>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</si>
  <si>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</si>
  <si>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</si>
  <si>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</si>
  <si>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</si>
  <si>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</si>
  <si>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</si>
  <si>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</si>
  <si>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</si>
  <si>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</si>
  <si>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</si>
  <si>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</si>
  <si>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</si>
  <si>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</si>
  <si>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</si>
  <si>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</si>
  <si>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</si>
  <si>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</si>
  <si>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</si>
  <si>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</si>
  <si>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</si>
  <si>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</si>
  <si>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</si>
  <si>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</si>
  <si>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</si>
  <si>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</si>
  <si>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</si>
  <si>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</si>
  <si>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</si>
  <si>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</si>
  <si>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</si>
  <si>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</si>
  <si>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</si>
  <si>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</si>
  <si>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</si>
  <si>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</si>
  <si>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</si>
  <si>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</si>
  <si>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</si>
  <si>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</si>
  <si>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</si>
  <si>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</si>
  <si>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</si>
  <si>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</si>
  <si>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</si>
  <si>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</si>
  <si>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</si>
  <si>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</si>
  <si>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</si>
  <si>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</si>
  <si>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</si>
  <si>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</si>
  <si>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</si>
  <si>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</si>
  <si>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</si>
  <si>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</si>
  <si>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</si>
  <si>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</si>
  <si>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</si>
  <si>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</si>
  <si>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</si>
  <si>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</si>
  <si>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</si>
  <si>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</si>
  <si>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</si>
  <si>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</si>
  <si>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</si>
  <si>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</si>
  <si>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</si>
  <si>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</si>
  <si>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</si>
  <si>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</si>
  <si>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</si>
  <si>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</si>
  <si>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</si>
  <si>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</si>
  <si>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</si>
  <si>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</si>
  <si>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</si>
  <si>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</si>
  <si>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</si>
  <si>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</si>
  <si>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</si>
  <si>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</si>
  <si>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</si>
  <si>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</si>
  <si>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</si>
  <si>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</si>
  <si>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</si>
  <si>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</si>
  <si>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</si>
  <si>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</si>
  <si>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</si>
  <si>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</si>
  <si>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</si>
  <si>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</si>
  <si>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</si>
  <si>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</si>
  <si>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</si>
  <si>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</si>
  <si>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</si>
  <si>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</si>
  <si>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</si>
  <si>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</si>
  <si>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</si>
  <si>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</si>
  <si>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</si>
  <si>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</si>
  <si>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</si>
  <si>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</si>
  <si>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</si>
  <si>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</si>
  <si>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</si>
  <si>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</si>
  <si>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</si>
  <si>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</si>
  <si>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</si>
  <si>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</si>
  <si>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</si>
  <si>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</si>
  <si>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</si>
  <si>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</si>
  <si>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</si>
  <si>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</si>
  <si>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</si>
  <si>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</si>
  <si>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</si>
  <si>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</si>
  <si>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</si>
  <si>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</si>
  <si>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</si>
  <si>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</si>
  <si>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</si>
  <si>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</si>
  <si>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</si>
  <si>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</si>
  <si>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</si>
  <si>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</si>
  <si>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</si>
  <si>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</si>
  <si>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</si>
  <si>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</si>
  <si>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</si>
  <si>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</si>
  <si>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</si>
  <si>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</si>
  <si>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</si>
  <si>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</si>
  <si>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</si>
  <si>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</si>
  <si>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</si>
  <si>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</si>
  <si>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</si>
  <si>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</si>
  <si>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</si>
  <si>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</si>
  <si>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</si>
  <si>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</si>
  <si>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</si>
  <si>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</si>
  <si>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</si>
  <si>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</si>
  <si>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</si>
  <si>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</si>
  <si>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</si>
  <si>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</si>
  <si>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</si>
  <si>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</si>
  <si>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</si>
  <si>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</si>
  <si>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</si>
  <si>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</si>
  <si>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</si>
  <si>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</si>
  <si>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</si>
  <si>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</si>
  <si>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</si>
  <si>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</si>
  <si>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</si>
  <si>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</si>
  <si>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</si>
  <si>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</si>
  <si>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</si>
  <si>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</si>
  <si>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</si>
  <si>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</si>
  <si>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</si>
  <si>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</si>
  <si>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</si>
  <si>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</si>
  <si>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</si>
  <si>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</si>
  <si>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</si>
  <si>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</si>
  <si>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</si>
  <si>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</si>
  <si>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</si>
  <si>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</si>
  <si>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</si>
  <si>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</si>
  <si>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</si>
  <si>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</si>
  <si>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</si>
  <si>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</si>
  <si>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</si>
  <si>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</si>
  <si>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</si>
  <si>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</si>
  <si>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</si>
  <si>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</si>
  <si>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</si>
  <si>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</si>
  <si>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</si>
  <si>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</si>
  <si>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</si>
  <si>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</si>
  <si>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</si>
  <si>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</si>
  <si>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</si>
  <si>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</si>
  <si>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</si>
  <si>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</si>
  <si>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</si>
  <si>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</si>
  <si>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</si>
  <si>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</si>
  <si>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</si>
  <si>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</si>
  <si>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</si>
  <si>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</si>
  <si>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</si>
  <si>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</si>
  <si>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</si>
  <si>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</si>
  <si>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</si>
  <si>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</si>
  <si>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</si>
  <si>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</si>
  <si>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</si>
  <si>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</si>
  <si>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</si>
  <si>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</si>
  <si>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</si>
  <si>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</si>
  <si>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</si>
  <si>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</si>
  <si>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</si>
  <si>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</si>
  <si>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</si>
  <si>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</si>
  <si>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</si>
  <si>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</si>
  <si>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</si>
  <si>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</si>
  <si>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</si>
  <si>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</si>
  <si>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</si>
  <si>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</si>
  <si>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</si>
  <si>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</si>
  <si>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</si>
  <si>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</si>
  <si>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</si>
  <si>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</si>
  <si>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</si>
  <si>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</si>
  <si>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</si>
  <si>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</si>
  <si>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</si>
  <si>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</si>
  <si>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</si>
  <si>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</si>
  <si>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</si>
  <si>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</si>
  <si>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</si>
  <si>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</si>
  <si>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</si>
  <si>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</si>
  <si>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</si>
  <si>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</si>
  <si>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</si>
  <si>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</si>
  <si>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</si>
  <si>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</si>
  <si>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</si>
  <si>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</si>
  <si>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</si>
  <si>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</si>
  <si>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</si>
  <si>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</si>
  <si>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</si>
  <si>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</si>
  <si>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</si>
  <si>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</si>
  <si>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</si>
  <si>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</si>
  <si>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</si>
  <si>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</si>
  <si>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</si>
  <si>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</si>
  <si>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</si>
  <si>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</si>
  <si>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</si>
  <si>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</si>
  <si>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</si>
  <si>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</si>
  <si>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</si>
  <si>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</si>
  <si>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</si>
  <si>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</si>
  <si>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Laconia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</si>
</sst>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285</v>
      </c>
      <c r="C2" s="21">
        <v>285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200</v>
      </c>
      <c r="G9" s="18">
        <v>350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2091231.96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230566.18</v>
      </c>
      <c r="G13" s="18">
        <v>42458.84</v>
      </c>
      <c r="H13" s="18">
        <v>503169.64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2708.1+2365</f>
        <v>5073.1000000000004</v>
      </c>
      <c r="G14" s="18"/>
      <c r="H14" s="18">
        <v>60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31312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43648.24+15840</f>
        <v>59488.24</v>
      </c>
      <c r="G17" s="18">
        <v>75.61</v>
      </c>
      <c r="H17" s="18">
        <v>704.1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10550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2397109.4800000004</v>
      </c>
      <c r="G19" s="41">
        <f>SUM(G9:G18)</f>
        <v>74196.45</v>
      </c>
      <c r="H19" s="41">
        <f>SUM(H9:H18)</f>
        <v>503933.74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-411485.34-59703.09</f>
        <v>-471188.43000000005</v>
      </c>
      <c r="G22" s="18">
        <v>59703.09</v>
      </c>
      <c r="H22" s="18">
        <v>411485.34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103.6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1197860.4+875.07+292134.11+1013649.79</f>
        <v>2504519.37</v>
      </c>
      <c r="G24" s="18"/>
      <c r="H24" s="18">
        <v>5483.03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26471.18+11740.48+3026.1</f>
        <v>41237.760000000002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3860</v>
      </c>
      <c r="G30" s="18"/>
      <c r="H30" s="18">
        <v>86965.37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318680.78000000003</v>
      </c>
      <c r="G31" s="18">
        <v>14389.76</v>
      </c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2397109.48</v>
      </c>
      <c r="G32" s="41">
        <f>SUM(G22:G31)</f>
        <v>74196.45</v>
      </c>
      <c r="H32" s="41">
        <f>SUM(H22:H31)</f>
        <v>503933.74000000005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2397109.48</v>
      </c>
      <c r="G51" s="41">
        <f>G50+G32</f>
        <v>74196.45</v>
      </c>
      <c r="H51" s="41">
        <f>H50+H32</f>
        <v>503933.74000000005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15661132.789999999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15661132.789999999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v>113826.7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4450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91947.99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>
        <v>39043.5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317953.73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25000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439351.72</v>
      </c>
      <c r="G78" s="45" t="s">
        <v>289</v>
      </c>
      <c r="H78" s="41">
        <f>SUM(H62:H77)</f>
        <v>152870.20000000001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412428.9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4854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28442.06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265.5</v>
      </c>
      <c r="G109" s="18"/>
      <c r="H109" s="18">
        <v>179195.51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6119.5</v>
      </c>
      <c r="G110" s="41">
        <f>SUM(G95:G109)</f>
        <v>412428.9</v>
      </c>
      <c r="H110" s="41">
        <f>SUM(H95:H109)</f>
        <v>207637.57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16106604.01</v>
      </c>
      <c r="G111" s="41">
        <f>G59+G110</f>
        <v>412428.9</v>
      </c>
      <c r="H111" s="41">
        <f>H59+H78+H93+H110</f>
        <v>360507.77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6460883-5593.08</f>
        <v>6455289.9199999999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4722011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5593.08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>
        <v>33301.72</v>
      </c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11182894</v>
      </c>
      <c r="G120" s="41">
        <f>SUM(G116:G119)</f>
        <v>33301.72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702401.7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47913.83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1050608.05</v>
      </c>
      <c r="G126" s="24" t="s">
        <v>289</v>
      </c>
      <c r="H126" s="18">
        <v>106779.93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43531.32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1800923.58</v>
      </c>
      <c r="G135" s="41">
        <f>SUM(G122:G134)</f>
        <v>43531.32</v>
      </c>
      <c r="H135" s="41">
        <f>SUM(H122:H134)</f>
        <v>106779.93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12983817.58</v>
      </c>
      <c r="G139" s="41">
        <f>G120+SUM(G135:G136)</f>
        <v>76833.040000000008</v>
      </c>
      <c r="H139" s="41">
        <f>H120+SUM(H135:H138)</f>
        <v>106779.93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763637.58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944806.96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1285981.18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158378.75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303007.33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692090.08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364031.46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34912.79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364031.46</v>
      </c>
      <c r="G161" s="41">
        <f>SUM(G149:G160)</f>
        <v>692090.08</v>
      </c>
      <c r="H161" s="41">
        <f>SUM(H149:H160)</f>
        <v>3490724.59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364031.46</v>
      </c>
      <c r="G168" s="41">
        <f>G146+G161+SUM(G162:G167)</f>
        <v>692090.08</v>
      </c>
      <c r="H168" s="41">
        <f>H146+H161+SUM(H162:H167)</f>
        <v>3490724.59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>
        <v>2184.2399999999998</v>
      </c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2184.2399999999998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2184.2399999999998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29454453.050000001</v>
      </c>
      <c r="G192" s="47">
        <f>G111+G139+G168+G191</f>
        <v>1181352.02</v>
      </c>
      <c r="H192" s="47">
        <f>H111+H139+H168+H191</f>
        <v>3960196.5300000003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2810224.86</v>
      </c>
      <c r="G196" s="18">
        <v>1463428.2</v>
      </c>
      <c r="H196" s="18">
        <v>35810.43</v>
      </c>
      <c r="I196" s="18">
        <v>123291.47</v>
      </c>
      <c r="J196" s="18">
        <v>8535.82</v>
      </c>
      <c r="K196" s="18"/>
      <c r="L196" s="19">
        <f>SUM(F196:K196)</f>
        <v>4441290.7799999993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1247369.02</v>
      </c>
      <c r="G197" s="18">
        <v>650799.24</v>
      </c>
      <c r="H197" s="18">
        <v>452341.55</v>
      </c>
      <c r="I197" s="18">
        <v>3171.79</v>
      </c>
      <c r="J197" s="18">
        <v>188.6</v>
      </c>
      <c r="K197" s="18">
        <v>749</v>
      </c>
      <c r="L197" s="19">
        <f>SUM(F197:K197)</f>
        <v>2354619.2000000002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7648.1</v>
      </c>
      <c r="G199" s="18">
        <v>3820.96</v>
      </c>
      <c r="H199" s="18"/>
      <c r="I199" s="18">
        <v>424.14</v>
      </c>
      <c r="J199" s="18"/>
      <c r="K199" s="18"/>
      <c r="L199" s="19">
        <f>SUM(F199:K199)</f>
        <v>11893.2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550661.05000000005</v>
      </c>
      <c r="G201" s="18">
        <v>287452.08</v>
      </c>
      <c r="H201" s="18">
        <v>82670.69</v>
      </c>
      <c r="I201" s="18">
        <v>5400.25</v>
      </c>
      <c r="J201" s="18">
        <v>935.01</v>
      </c>
      <c r="K201" s="18"/>
      <c r="L201" s="19">
        <f t="shared" ref="L201:L207" si="0">SUM(F201:K201)</f>
        <v>927119.08000000007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210836.78</v>
      </c>
      <c r="G202" s="18">
        <v>144847.69</v>
      </c>
      <c r="H202" s="18">
        <v>47235.35</v>
      </c>
      <c r="I202" s="18">
        <v>30770.32</v>
      </c>
      <c r="J202" s="18">
        <v>21317.26</v>
      </c>
      <c r="K202" s="18"/>
      <c r="L202" s="19">
        <f t="shared" si="0"/>
        <v>455007.39999999997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153373</v>
      </c>
      <c r="G203" s="18">
        <v>84324.82</v>
      </c>
      <c r="H203" s="18">
        <v>60331.82</v>
      </c>
      <c r="I203" s="18">
        <v>2574.2600000000002</v>
      </c>
      <c r="J203" s="18"/>
      <c r="K203" s="18">
        <v>16133.1</v>
      </c>
      <c r="L203" s="19">
        <f t="shared" si="0"/>
        <v>316737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461079.81</v>
      </c>
      <c r="G204" s="18">
        <v>245956.37</v>
      </c>
      <c r="H204" s="18">
        <v>14617.41</v>
      </c>
      <c r="I204" s="18">
        <v>4084.06</v>
      </c>
      <c r="J204" s="18"/>
      <c r="K204" s="18">
        <v>2173.06</v>
      </c>
      <c r="L204" s="19">
        <f t="shared" si="0"/>
        <v>727910.71000000008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92772.800000000003</v>
      </c>
      <c r="G205" s="18">
        <v>49024.12</v>
      </c>
      <c r="H205" s="18">
        <v>43107</v>
      </c>
      <c r="I205" s="18">
        <v>151.79</v>
      </c>
      <c r="J205" s="18">
        <v>585.20000000000005</v>
      </c>
      <c r="K205" s="18"/>
      <c r="L205" s="19">
        <f t="shared" si="0"/>
        <v>185640.91000000003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296908.59000000003</v>
      </c>
      <c r="G206" s="18">
        <v>154366.84</v>
      </c>
      <c r="H206" s="18">
        <v>198610.89</v>
      </c>
      <c r="I206" s="18">
        <v>271712.87</v>
      </c>
      <c r="J206" s="18">
        <v>20033.68</v>
      </c>
      <c r="K206" s="18"/>
      <c r="L206" s="19">
        <f t="shared" si="0"/>
        <v>941632.87000000011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246154.27</v>
      </c>
      <c r="I207" s="18">
        <v>7450.26</v>
      </c>
      <c r="J207" s="18"/>
      <c r="K207" s="18"/>
      <c r="L207" s="19">
        <f t="shared" si="0"/>
        <v>253604.53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5830874.0099999998</v>
      </c>
      <c r="G210" s="41">
        <f t="shared" si="1"/>
        <v>3084020.32</v>
      </c>
      <c r="H210" s="41">
        <f t="shared" si="1"/>
        <v>1180879.4099999999</v>
      </c>
      <c r="I210" s="41">
        <f t="shared" si="1"/>
        <v>449031.21</v>
      </c>
      <c r="J210" s="41">
        <f t="shared" si="1"/>
        <v>51595.57</v>
      </c>
      <c r="K210" s="41">
        <f t="shared" si="1"/>
        <v>19055.16</v>
      </c>
      <c r="L210" s="41">
        <f t="shared" si="1"/>
        <v>10615455.680000002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1878966.35</v>
      </c>
      <c r="G214" s="18">
        <v>975873.52</v>
      </c>
      <c r="H214" s="18">
        <v>33944.29</v>
      </c>
      <c r="I214" s="18">
        <v>62431.55</v>
      </c>
      <c r="J214" s="18">
        <v>18127.46</v>
      </c>
      <c r="K214" s="18"/>
      <c r="L214" s="19">
        <f>SUM(F214:K214)</f>
        <v>2969343.17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695717.42</v>
      </c>
      <c r="G215" s="18">
        <v>362227.13</v>
      </c>
      <c r="H215" s="18">
        <v>265141.34999999998</v>
      </c>
      <c r="I215" s="18">
        <v>7638.86</v>
      </c>
      <c r="J215" s="18">
        <v>450.99</v>
      </c>
      <c r="K215" s="18">
        <v>704</v>
      </c>
      <c r="L215" s="19">
        <f>SUM(F215:K215)</f>
        <v>1331879.75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46550.67</v>
      </c>
      <c r="G217" s="18">
        <v>23689.95</v>
      </c>
      <c r="H217" s="18">
        <v>9470</v>
      </c>
      <c r="I217" s="18">
        <v>8103.55</v>
      </c>
      <c r="J217" s="18"/>
      <c r="K217" s="18"/>
      <c r="L217" s="19">
        <f>SUM(F217:K217)</f>
        <v>87814.17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248323.4</v>
      </c>
      <c r="G219" s="18">
        <v>129628.5</v>
      </c>
      <c r="H219" s="18">
        <v>32586.11</v>
      </c>
      <c r="I219" s="18">
        <v>3560.17</v>
      </c>
      <c r="J219" s="18"/>
      <c r="K219" s="18"/>
      <c r="L219" s="19">
        <f t="shared" ref="L219:L225" si="2">SUM(F219:K219)</f>
        <v>414098.18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105552.28</v>
      </c>
      <c r="G220" s="18">
        <v>71713.27</v>
      </c>
      <c r="H220" s="18">
        <v>25380.5</v>
      </c>
      <c r="I220" s="18">
        <v>23018.83</v>
      </c>
      <c r="J220" s="18">
        <v>6790.99</v>
      </c>
      <c r="K220" s="18"/>
      <c r="L220" s="19">
        <f t="shared" si="2"/>
        <v>232455.87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81991.38</v>
      </c>
      <c r="G221" s="18">
        <v>42382.81</v>
      </c>
      <c r="H221" s="18">
        <v>32908.269999999997</v>
      </c>
      <c r="I221" s="18">
        <v>1404.15</v>
      </c>
      <c r="J221" s="18"/>
      <c r="K221" s="18">
        <v>8799.8799999999992</v>
      </c>
      <c r="L221" s="19">
        <f t="shared" si="2"/>
        <v>167486.49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248265.29</v>
      </c>
      <c r="G222" s="18">
        <v>129148.5</v>
      </c>
      <c r="H222" s="18">
        <v>23830.03</v>
      </c>
      <c r="I222" s="18">
        <v>1841.97</v>
      </c>
      <c r="J222" s="18"/>
      <c r="K222" s="18">
        <v>2608</v>
      </c>
      <c r="L222" s="19">
        <f t="shared" si="2"/>
        <v>405693.79000000004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50603.34</v>
      </c>
      <c r="G223" s="18">
        <v>24934.14</v>
      </c>
      <c r="H223" s="18">
        <v>23512.91</v>
      </c>
      <c r="I223" s="18">
        <v>82.8</v>
      </c>
      <c r="J223" s="18">
        <v>319.19</v>
      </c>
      <c r="K223" s="18"/>
      <c r="L223" s="19">
        <f t="shared" si="2"/>
        <v>99452.38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214218.65</v>
      </c>
      <c r="G224" s="18">
        <v>111572.08</v>
      </c>
      <c r="H224" s="18">
        <v>209793.55</v>
      </c>
      <c r="I224" s="18">
        <v>214722.78</v>
      </c>
      <c r="J224" s="18">
        <v>11858.15</v>
      </c>
      <c r="K224" s="18"/>
      <c r="L224" s="19">
        <f t="shared" si="2"/>
        <v>762165.21000000008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148266.20000000001</v>
      </c>
      <c r="I225" s="18">
        <v>4063.79</v>
      </c>
      <c r="J225" s="18"/>
      <c r="K225" s="18"/>
      <c r="L225" s="19">
        <f t="shared" si="2"/>
        <v>152329.99000000002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3570188.7799999993</v>
      </c>
      <c r="G228" s="41">
        <f>SUM(G214:G227)</f>
        <v>1871169.9</v>
      </c>
      <c r="H228" s="41">
        <f>SUM(H214:H227)</f>
        <v>804833.21</v>
      </c>
      <c r="I228" s="41">
        <f>SUM(I214:I227)</f>
        <v>326868.45</v>
      </c>
      <c r="J228" s="41">
        <f>SUM(J214:J227)</f>
        <v>37546.78</v>
      </c>
      <c r="K228" s="41">
        <f t="shared" si="3"/>
        <v>12111.88</v>
      </c>
      <c r="L228" s="41">
        <f t="shared" si="3"/>
        <v>6622719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2170087.9900000002</v>
      </c>
      <c r="G232" s="18">
        <v>1131004.54</v>
      </c>
      <c r="H232" s="18">
        <v>51364.12</v>
      </c>
      <c r="I232" s="18">
        <v>102845.43</v>
      </c>
      <c r="J232" s="18">
        <v>25139.1</v>
      </c>
      <c r="K232" s="18"/>
      <c r="L232" s="19">
        <f>SUM(F232:K232)</f>
        <v>3480441.1800000006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733399.5</v>
      </c>
      <c r="G233" s="18">
        <v>384096.14</v>
      </c>
      <c r="H233" s="18">
        <v>302976.83</v>
      </c>
      <c r="I233" s="18">
        <v>1372.47</v>
      </c>
      <c r="J233" s="18">
        <v>1408.05</v>
      </c>
      <c r="K233" s="18">
        <v>700</v>
      </c>
      <c r="L233" s="19">
        <f>SUM(F233:K233)</f>
        <v>1423952.9900000002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904193.45</v>
      </c>
      <c r="G234" s="18">
        <v>472742.44</v>
      </c>
      <c r="H234" s="18">
        <v>17503.419999999998</v>
      </c>
      <c r="I234" s="18">
        <v>38726.120000000003</v>
      </c>
      <c r="J234" s="18">
        <v>16716.09</v>
      </c>
      <c r="K234" s="18">
        <v>200</v>
      </c>
      <c r="L234" s="19">
        <f>SUM(F234:K234)</f>
        <v>1450081.52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150866.25</v>
      </c>
      <c r="G235" s="18">
        <v>78711.8</v>
      </c>
      <c r="H235" s="18">
        <v>59689.03</v>
      </c>
      <c r="I235" s="18">
        <v>14401.29</v>
      </c>
      <c r="J235" s="18"/>
      <c r="K235" s="18"/>
      <c r="L235" s="19">
        <f>SUM(F235:K235)</f>
        <v>303668.36999999994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271439</v>
      </c>
      <c r="G237" s="18">
        <v>142015.56</v>
      </c>
      <c r="H237" s="18">
        <v>12770.44</v>
      </c>
      <c r="I237" s="18">
        <v>2349.2399999999998</v>
      </c>
      <c r="J237" s="18"/>
      <c r="K237" s="18"/>
      <c r="L237" s="19">
        <f t="shared" ref="L237:L243" si="4">SUM(F237:K237)</f>
        <v>428574.24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131128.94</v>
      </c>
      <c r="G238" s="18">
        <v>95617.69</v>
      </c>
      <c r="H238" s="18">
        <v>29700.94</v>
      </c>
      <c r="I238" s="18">
        <v>44876.98</v>
      </c>
      <c r="J238" s="18">
        <v>31000.73</v>
      </c>
      <c r="K238" s="18"/>
      <c r="L238" s="19">
        <f t="shared" si="4"/>
        <v>332325.27999999997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188871.61</v>
      </c>
      <c r="G239" s="18">
        <v>104399.79</v>
      </c>
      <c r="H239" s="18">
        <v>43877.68</v>
      </c>
      <c r="I239" s="18">
        <v>1872.19</v>
      </c>
      <c r="J239" s="18"/>
      <c r="K239" s="18">
        <v>11733.16</v>
      </c>
      <c r="L239" s="19">
        <f t="shared" si="4"/>
        <v>350754.42999999993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293884.3</v>
      </c>
      <c r="G240" s="18">
        <v>156838.44</v>
      </c>
      <c r="H240" s="18">
        <v>18501.73</v>
      </c>
      <c r="I240" s="18">
        <v>1474.69</v>
      </c>
      <c r="J240" s="18"/>
      <c r="K240" s="18">
        <v>8133</v>
      </c>
      <c r="L240" s="19">
        <f t="shared" si="4"/>
        <v>478832.16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67471.13</v>
      </c>
      <c r="G241" s="18">
        <v>38085.410000000003</v>
      </c>
      <c r="H241" s="18">
        <v>31350.54</v>
      </c>
      <c r="I241" s="18">
        <v>110.39</v>
      </c>
      <c r="J241" s="18">
        <v>425.6</v>
      </c>
      <c r="K241" s="18"/>
      <c r="L241" s="19">
        <f t="shared" si="4"/>
        <v>137443.07000000004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236199.78</v>
      </c>
      <c r="G242" s="18">
        <v>123034.96</v>
      </c>
      <c r="H242" s="18">
        <v>345043.75</v>
      </c>
      <c r="I242" s="18">
        <v>246700.32</v>
      </c>
      <c r="J242" s="18">
        <v>12975.35</v>
      </c>
      <c r="K242" s="18"/>
      <c r="L242" s="19">
        <f t="shared" si="4"/>
        <v>963954.16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>
        <v>0.01</v>
      </c>
      <c r="H243" s="18">
        <v>217758.61</v>
      </c>
      <c r="I243" s="18">
        <v>5418.37</v>
      </c>
      <c r="J243" s="18"/>
      <c r="K243" s="18"/>
      <c r="L243" s="19">
        <f t="shared" si="4"/>
        <v>223176.99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5147541.9500000011</v>
      </c>
      <c r="G246" s="41">
        <f t="shared" si="5"/>
        <v>2726546.78</v>
      </c>
      <c r="H246" s="41">
        <f t="shared" si="5"/>
        <v>1130537.0900000001</v>
      </c>
      <c r="I246" s="41">
        <f t="shared" si="5"/>
        <v>460147.49</v>
      </c>
      <c r="J246" s="41">
        <f t="shared" si="5"/>
        <v>87664.920000000013</v>
      </c>
      <c r="K246" s="41">
        <f t="shared" si="5"/>
        <v>20766.16</v>
      </c>
      <c r="L246" s="41">
        <f t="shared" si="5"/>
        <v>9573204.3900000025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135568.38</v>
      </c>
      <c r="G250" s="18">
        <v>72305.69</v>
      </c>
      <c r="H250" s="18">
        <v>13055.07</v>
      </c>
      <c r="I250" s="18">
        <v>16912.98</v>
      </c>
      <c r="J250" s="18">
        <v>2000</v>
      </c>
      <c r="K250" s="18">
        <v>3112.97</v>
      </c>
      <c r="L250" s="19">
        <f t="shared" si="6"/>
        <v>242955.09000000003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131333.89000000001</v>
      </c>
      <c r="I254" s="18"/>
      <c r="J254" s="18"/>
      <c r="K254" s="18"/>
      <c r="L254" s="19">
        <f t="shared" si="6"/>
        <v>131333.89000000001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135568.38</v>
      </c>
      <c r="G255" s="41">
        <f t="shared" si="7"/>
        <v>72305.69</v>
      </c>
      <c r="H255" s="41">
        <f t="shared" si="7"/>
        <v>144388.96000000002</v>
      </c>
      <c r="I255" s="41">
        <f t="shared" si="7"/>
        <v>16912.98</v>
      </c>
      <c r="J255" s="41">
        <f t="shared" si="7"/>
        <v>2000</v>
      </c>
      <c r="K255" s="41">
        <f t="shared" si="7"/>
        <v>3112.97</v>
      </c>
      <c r="L255" s="41">
        <f>SUM(F255:K255)</f>
        <v>374288.98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14684173.120000001</v>
      </c>
      <c r="G256" s="41">
        <f t="shared" si="8"/>
        <v>7754042.6900000004</v>
      </c>
      <c r="H256" s="41">
        <f t="shared" si="8"/>
        <v>3260638.67</v>
      </c>
      <c r="I256" s="41">
        <f t="shared" si="8"/>
        <v>1252960.1299999999</v>
      </c>
      <c r="J256" s="41">
        <f t="shared" si="8"/>
        <v>178807.27000000002</v>
      </c>
      <c r="K256" s="41">
        <f t="shared" si="8"/>
        <v>55046.17</v>
      </c>
      <c r="L256" s="41">
        <f t="shared" si="8"/>
        <v>27185668.050000001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1746784.12</v>
      </c>
      <c r="L259" s="19">
        <f>SUM(F259:K259)</f>
        <v>1746784.12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522000.88</v>
      </c>
      <c r="L260" s="19">
        <f>SUM(F260:K260)</f>
        <v>522000.88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2268785</v>
      </c>
      <c r="L269" s="41">
        <f t="shared" si="9"/>
        <v>2268785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14684173.120000001</v>
      </c>
      <c r="G270" s="42">
        <f t="shared" si="11"/>
        <v>7754042.6900000004</v>
      </c>
      <c r="H270" s="42">
        <f t="shared" si="11"/>
        <v>3260638.67</v>
      </c>
      <c r="I270" s="42">
        <f t="shared" si="11"/>
        <v>1252960.1299999999</v>
      </c>
      <c r="J270" s="42">
        <f t="shared" si="11"/>
        <v>178807.27000000002</v>
      </c>
      <c r="K270" s="42">
        <f t="shared" si="11"/>
        <v>2323831.17</v>
      </c>
      <c r="L270" s="42">
        <f t="shared" si="11"/>
        <v>29454453.050000001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453156.23</v>
      </c>
      <c r="G275" s="18">
        <v>136077.70000000001</v>
      </c>
      <c r="H275" s="18">
        <v>254885.78</v>
      </c>
      <c r="I275" s="18">
        <v>76457.41</v>
      </c>
      <c r="J275" s="18"/>
      <c r="K275" s="18"/>
      <c r="L275" s="19">
        <f>SUM(F275:K275)</f>
        <v>920577.12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119249.5</v>
      </c>
      <c r="G276" s="18">
        <v>33338.269999999997</v>
      </c>
      <c r="H276" s="18">
        <v>100479.28</v>
      </c>
      <c r="I276" s="18">
        <v>7149.55</v>
      </c>
      <c r="J276" s="18">
        <v>8171.66</v>
      </c>
      <c r="K276" s="18"/>
      <c r="L276" s="19">
        <f>SUM(F276:K276)</f>
        <v>268388.25999999995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156705.82</v>
      </c>
      <c r="G278" s="18">
        <v>9956.76</v>
      </c>
      <c r="H278" s="18">
        <v>2464</v>
      </c>
      <c r="I278" s="18">
        <v>3520</v>
      </c>
      <c r="J278" s="18"/>
      <c r="K278" s="18">
        <v>44.35</v>
      </c>
      <c r="L278" s="19">
        <f>SUM(F278:K278)</f>
        <v>172690.93000000002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16386.48</v>
      </c>
      <c r="G280" s="18">
        <v>940.12</v>
      </c>
      <c r="H280" s="18">
        <v>24614.12</v>
      </c>
      <c r="I280" s="18"/>
      <c r="J280" s="18">
        <v>1666.01</v>
      </c>
      <c r="K280" s="18"/>
      <c r="L280" s="19">
        <f t="shared" ref="L280:L286" si="12">SUM(F280:K280)</f>
        <v>43606.73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12994.96</v>
      </c>
      <c r="G281" s="18">
        <v>9130</v>
      </c>
      <c r="H281" s="18">
        <v>59124.84</v>
      </c>
      <c r="I281" s="18">
        <v>2142.23</v>
      </c>
      <c r="J281" s="18">
        <v>19155.240000000002</v>
      </c>
      <c r="K281" s="18"/>
      <c r="L281" s="19">
        <f t="shared" si="12"/>
        <v>102547.26999999999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6862.4</v>
      </c>
      <c r="I286" s="18"/>
      <c r="J286" s="18"/>
      <c r="K286" s="18"/>
      <c r="L286" s="19">
        <f t="shared" si="12"/>
        <v>6862.4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758492.99</v>
      </c>
      <c r="G289" s="42">
        <f t="shared" si="13"/>
        <v>189442.85</v>
      </c>
      <c r="H289" s="42">
        <f t="shared" si="13"/>
        <v>448430.42000000004</v>
      </c>
      <c r="I289" s="42">
        <f t="shared" si="13"/>
        <v>89269.19</v>
      </c>
      <c r="J289" s="42">
        <f t="shared" si="13"/>
        <v>28992.910000000003</v>
      </c>
      <c r="K289" s="42">
        <f t="shared" si="13"/>
        <v>44.35</v>
      </c>
      <c r="L289" s="41">
        <f t="shared" si="13"/>
        <v>1514672.7099999997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208933.3</v>
      </c>
      <c r="G294" s="18">
        <v>71298.69</v>
      </c>
      <c r="H294" s="18">
        <v>138617.21</v>
      </c>
      <c r="I294" s="18">
        <v>39458.78</v>
      </c>
      <c r="J294" s="18"/>
      <c r="K294" s="18"/>
      <c r="L294" s="19">
        <f>SUM(F294:K294)</f>
        <v>458307.98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54335.26</v>
      </c>
      <c r="G295" s="18">
        <v>18184.509999999998</v>
      </c>
      <c r="H295" s="18">
        <v>47883.39</v>
      </c>
      <c r="I295" s="18">
        <v>151.62</v>
      </c>
      <c r="J295" s="18">
        <v>4457.26</v>
      </c>
      <c r="K295" s="18"/>
      <c r="L295" s="19">
        <f>SUM(F295:K295)</f>
        <v>125012.04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72640.320000000007</v>
      </c>
      <c r="G297" s="18">
        <v>5430.96</v>
      </c>
      <c r="H297" s="18">
        <v>1344</v>
      </c>
      <c r="I297" s="18">
        <v>1920</v>
      </c>
      <c r="J297" s="18"/>
      <c r="K297" s="18">
        <v>24.19</v>
      </c>
      <c r="L297" s="19">
        <f>SUM(F297:K297)</f>
        <v>81359.470000000016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8938.08</v>
      </c>
      <c r="G299" s="18">
        <v>512.79</v>
      </c>
      <c r="H299" s="18">
        <v>12405.15</v>
      </c>
      <c r="I299" s="18"/>
      <c r="J299" s="18"/>
      <c r="K299" s="18"/>
      <c r="L299" s="19">
        <f t="shared" ref="L299:L305" si="14">SUM(F299:K299)</f>
        <v>21856.019999999997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7088.16</v>
      </c>
      <c r="G300" s="18">
        <v>4980</v>
      </c>
      <c r="H300" s="18">
        <v>32249.93</v>
      </c>
      <c r="I300" s="18">
        <v>918.64</v>
      </c>
      <c r="J300" s="18">
        <v>10488.51</v>
      </c>
      <c r="K300" s="18"/>
      <c r="L300" s="19">
        <f t="shared" si="14"/>
        <v>55725.24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3743.13</v>
      </c>
      <c r="I305" s="18"/>
      <c r="J305" s="18"/>
      <c r="K305" s="18"/>
      <c r="L305" s="19">
        <f t="shared" si="14"/>
        <v>3743.13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351935.12</v>
      </c>
      <c r="G308" s="42">
        <f t="shared" si="15"/>
        <v>100406.95</v>
      </c>
      <c r="H308" s="42">
        <f t="shared" si="15"/>
        <v>236242.80999999997</v>
      </c>
      <c r="I308" s="42">
        <f t="shared" si="15"/>
        <v>42449.04</v>
      </c>
      <c r="J308" s="42">
        <f t="shared" si="15"/>
        <v>14945.77</v>
      </c>
      <c r="K308" s="42">
        <f t="shared" si="15"/>
        <v>24.19</v>
      </c>
      <c r="L308" s="41">
        <f t="shared" si="15"/>
        <v>746003.88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405594.31</v>
      </c>
      <c r="G313" s="18">
        <v>141693.88</v>
      </c>
      <c r="H313" s="18">
        <v>215106.56</v>
      </c>
      <c r="I313" s="18">
        <v>70146.37</v>
      </c>
      <c r="J313" s="18"/>
      <c r="K313" s="18"/>
      <c r="L313" s="19">
        <f>SUM(F313:K313)</f>
        <v>832541.12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72446.990000000005</v>
      </c>
      <c r="G314" s="18">
        <v>24246.02</v>
      </c>
      <c r="H314" s="18">
        <v>63844.51</v>
      </c>
      <c r="I314" s="18">
        <v>644.79</v>
      </c>
      <c r="J314" s="18">
        <v>5943.02</v>
      </c>
      <c r="K314" s="18"/>
      <c r="L314" s="19">
        <f>SUM(F314:K314)</f>
        <v>167125.33000000002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92609.33</v>
      </c>
      <c r="G315" s="18">
        <v>14700.45</v>
      </c>
      <c r="H315" s="18">
        <v>12599.76</v>
      </c>
      <c r="I315" s="18">
        <v>13195.33</v>
      </c>
      <c r="J315" s="18">
        <v>56562.18</v>
      </c>
      <c r="K315" s="18">
        <v>1600</v>
      </c>
      <c r="L315" s="19">
        <f>SUM(F315:K315)</f>
        <v>191267.05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96853.759999999995</v>
      </c>
      <c r="G316" s="18">
        <v>7241.28</v>
      </c>
      <c r="H316" s="18">
        <v>1792</v>
      </c>
      <c r="I316" s="18">
        <v>2560</v>
      </c>
      <c r="J316" s="18"/>
      <c r="K316" s="18">
        <v>32.26</v>
      </c>
      <c r="L316" s="19">
        <f>SUM(F316:K316)</f>
        <v>108479.29999999999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12417.44</v>
      </c>
      <c r="G318" s="18">
        <v>683.72</v>
      </c>
      <c r="H318" s="18">
        <v>18797.89</v>
      </c>
      <c r="I318" s="18">
        <v>1502.34</v>
      </c>
      <c r="J318" s="18">
        <v>4136.18</v>
      </c>
      <c r="K318" s="18">
        <v>1600</v>
      </c>
      <c r="L318" s="19">
        <f t="shared" ref="L318:L324" si="16">SUM(F318:K318)</f>
        <v>39137.57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9450.8799999999992</v>
      </c>
      <c r="G319" s="18">
        <v>6640</v>
      </c>
      <c r="H319" s="18">
        <v>67202.66</v>
      </c>
      <c r="I319" s="18">
        <v>1942.03</v>
      </c>
      <c r="J319" s="18">
        <v>15890.88</v>
      </c>
      <c r="K319" s="18">
        <v>5638</v>
      </c>
      <c r="L319" s="19">
        <f t="shared" si="16"/>
        <v>106764.45000000001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8749.75</v>
      </c>
      <c r="I324" s="18"/>
      <c r="J324" s="18"/>
      <c r="K324" s="18"/>
      <c r="L324" s="19">
        <f t="shared" si="16"/>
        <v>8749.75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689372.71</v>
      </c>
      <c r="G327" s="42">
        <f t="shared" si="17"/>
        <v>195205.35</v>
      </c>
      <c r="H327" s="42">
        <f t="shared" si="17"/>
        <v>388093.13</v>
      </c>
      <c r="I327" s="42">
        <f t="shared" si="17"/>
        <v>89990.859999999986</v>
      </c>
      <c r="J327" s="42">
        <f t="shared" si="17"/>
        <v>82532.260000000009</v>
      </c>
      <c r="K327" s="42">
        <f t="shared" si="17"/>
        <v>8870.26</v>
      </c>
      <c r="L327" s="41">
        <f t="shared" si="17"/>
        <v>1454064.57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178123</v>
      </c>
      <c r="G332" s="18">
        <v>20784.95</v>
      </c>
      <c r="H332" s="18">
        <f>22439.18+3850</f>
        <v>26289.18</v>
      </c>
      <c r="I332" s="18">
        <v>18478.2</v>
      </c>
      <c r="J332" s="18">
        <f>3850-3850</f>
        <v>0</v>
      </c>
      <c r="K332" s="18">
        <v>115</v>
      </c>
      <c r="L332" s="19">
        <f t="shared" si="18"/>
        <v>243790.33000000002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178123</v>
      </c>
      <c r="G336" s="41">
        <f t="shared" si="19"/>
        <v>20784.95</v>
      </c>
      <c r="H336" s="41">
        <f t="shared" si="19"/>
        <v>26289.18</v>
      </c>
      <c r="I336" s="41">
        <f t="shared" si="19"/>
        <v>18478.2</v>
      </c>
      <c r="J336" s="41">
        <f t="shared" si="19"/>
        <v>0</v>
      </c>
      <c r="K336" s="41">
        <f t="shared" si="19"/>
        <v>115</v>
      </c>
      <c r="L336" s="41">
        <f t="shared" si="18"/>
        <v>243790.33000000002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1977923.8199999998</v>
      </c>
      <c r="G337" s="41">
        <f t="shared" si="20"/>
        <v>505840.10000000003</v>
      </c>
      <c r="H337" s="41">
        <f t="shared" si="20"/>
        <v>1099055.5399999998</v>
      </c>
      <c r="I337" s="41">
        <f t="shared" si="20"/>
        <v>240187.29</v>
      </c>
      <c r="J337" s="41">
        <f t="shared" si="20"/>
        <v>126470.94000000002</v>
      </c>
      <c r="K337" s="41">
        <f t="shared" si="20"/>
        <v>9053.8000000000011</v>
      </c>
      <c r="L337" s="41">
        <f t="shared" si="20"/>
        <v>3958531.49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1665.04</v>
      </c>
      <c r="L349" s="19">
        <f t="shared" si="21"/>
        <v>1665.04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1665.04</v>
      </c>
      <c r="L350" s="41">
        <f>SUM(L340:L349)</f>
        <v>1665.04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1977923.8199999998</v>
      </c>
      <c r="G351" s="41">
        <f>G337</f>
        <v>505840.10000000003</v>
      </c>
      <c r="H351" s="41">
        <f>H337</f>
        <v>1099055.5399999998</v>
      </c>
      <c r="I351" s="41">
        <f>I337</f>
        <v>240187.29</v>
      </c>
      <c r="J351" s="41">
        <f>J337</f>
        <v>126470.94000000002</v>
      </c>
      <c r="K351" s="47">
        <f>K337+K350</f>
        <v>10718.84</v>
      </c>
      <c r="L351" s="41">
        <f>L337+L350</f>
        <v>3960196.5300000003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179613.8</v>
      </c>
      <c r="G357" s="18">
        <v>47695.5</v>
      </c>
      <c r="H357" s="18">
        <v>16640.009999999998</v>
      </c>
      <c r="I357" s="18">
        <v>279414.96000000002</v>
      </c>
      <c r="J357" s="18">
        <v>1601.56</v>
      </c>
      <c r="K357" s="18"/>
      <c r="L357" s="13">
        <f>SUM(F357:K357)</f>
        <v>524965.83000000007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124560.19</v>
      </c>
      <c r="G358" s="18">
        <v>37958.19</v>
      </c>
      <c r="H358" s="18">
        <v>5449.32</v>
      </c>
      <c r="I358" s="18">
        <v>152145.85</v>
      </c>
      <c r="J358" s="18">
        <v>3556.32</v>
      </c>
      <c r="K358" s="18"/>
      <c r="L358" s="19">
        <f>SUM(F358:K358)</f>
        <v>323669.87000000005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107332.7</v>
      </c>
      <c r="G359" s="18">
        <v>34453.39</v>
      </c>
      <c r="H359" s="18">
        <v>7012.51</v>
      </c>
      <c r="I359" s="18">
        <v>182954.93</v>
      </c>
      <c r="J359" s="18">
        <v>962.79</v>
      </c>
      <c r="K359" s="18"/>
      <c r="L359" s="19">
        <f>SUM(F359:K359)</f>
        <v>332716.32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411506.69</v>
      </c>
      <c r="G361" s="47">
        <f t="shared" si="22"/>
        <v>120107.08</v>
      </c>
      <c r="H361" s="47">
        <f t="shared" si="22"/>
        <v>29101.839999999997</v>
      </c>
      <c r="I361" s="47">
        <f t="shared" si="22"/>
        <v>614515.74</v>
      </c>
      <c r="J361" s="47">
        <f t="shared" si="22"/>
        <v>6120.67</v>
      </c>
      <c r="K361" s="47">
        <f t="shared" si="22"/>
        <v>0</v>
      </c>
      <c r="L361" s="47">
        <f t="shared" si="22"/>
        <v>1181352.0200000003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102871.08+25890.42+1517.19+458.82+50098.98+16978.49+468.51+540.9+45298.13+16323.23+344.9+52.34</f>
        <v>260842.99000000002</v>
      </c>
      <c r="G366" s="18">
        <f>115086.6+14446.72+6978.07</f>
        <v>136511.39000000001</v>
      </c>
      <c r="H366" s="18">
        <f>124978.73+45471.44+1366.87</f>
        <v>171817.03999999998</v>
      </c>
      <c r="I366" s="56">
        <f>SUM(F366:H366)</f>
        <v>569171.41999999993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9041.51+4831.42+4447.64+83.8+83.8+83.8</f>
        <v>18571.969999999998</v>
      </c>
      <c r="G367" s="63">
        <f>15550.66+83.8</f>
        <v>15634.46</v>
      </c>
      <c r="H367" s="63">
        <f>11054.1+83.79</f>
        <v>11137.890000000001</v>
      </c>
      <c r="I367" s="56">
        <f>SUM(F367:H367)</f>
        <v>45344.319999999992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279414.96000000002</v>
      </c>
      <c r="G368" s="47">
        <f>SUM(G366:G367)</f>
        <v>152145.85</v>
      </c>
      <c r="H368" s="47">
        <f>SUM(H366:H367)</f>
        <v>182954.93</v>
      </c>
      <c r="I368" s="47">
        <f>SUM(I366:I367)</f>
        <v>614515.73999999987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/>
      <c r="G464" s="18"/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29454453.050000001</v>
      </c>
      <c r="G467" s="18">
        <v>1181352.02</v>
      </c>
      <c r="H467" s="18">
        <v>3960196.53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29454453.050000001</v>
      </c>
      <c r="G469" s="53">
        <f>SUM(G467:G468)</f>
        <v>1181352.02</v>
      </c>
      <c r="H469" s="53">
        <f>SUM(H467:H468)</f>
        <v>3960196.53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29454453.050000001</v>
      </c>
      <c r="G471" s="18">
        <v>1181352.02</v>
      </c>
      <c r="H471" s="18">
        <v>3960196.53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29454453.050000001</v>
      </c>
      <c r="G473" s="53">
        <f>SUM(G471:G472)</f>
        <v>1181352.02</v>
      </c>
      <c r="H473" s="53">
        <f>SUM(H471:H472)</f>
        <v>3960196.53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1247369.02-72252+119249.5</f>
        <v>1294366.52</v>
      </c>
      <c r="G520" s="18">
        <f>33338.27+650799.24-(72252*0.52)</f>
        <v>646566.47</v>
      </c>
      <c r="H520" s="18">
        <f>452341.55-986.48+100479.28</f>
        <v>551834.35</v>
      </c>
      <c r="I520" s="18">
        <f>3171.79+7149.55</f>
        <v>10321.34</v>
      </c>
      <c r="J520" s="18">
        <f>188.6+8171.66</f>
        <v>8360.26</v>
      </c>
      <c r="K520" s="18"/>
      <c r="L520" s="88">
        <f>SUM(F520:K520)</f>
        <v>2511448.9399999995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695717.42-72252+54335.26</f>
        <v>677800.68</v>
      </c>
      <c r="G521" s="18">
        <f>18184.51+362227.13-(72252*0.52)</f>
        <v>342840.60000000003</v>
      </c>
      <c r="H521" s="18">
        <f>265141.35-976.2+47883.39</f>
        <v>312048.53999999998</v>
      </c>
      <c r="I521" s="18">
        <f>7638.86+151.62</f>
        <v>7790.48</v>
      </c>
      <c r="J521" s="18">
        <f>450.99+4457.26</f>
        <v>4908.25</v>
      </c>
      <c r="K521" s="18"/>
      <c r="L521" s="88">
        <f>SUM(F521:K521)</f>
        <v>1345388.55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733399.5-72252+72446.99</f>
        <v>733594.49</v>
      </c>
      <c r="G522" s="18">
        <f>24246.02+384096.14-(72252*0.52)</f>
        <v>370771.12000000005</v>
      </c>
      <c r="H522" s="18">
        <f>302976.83-1025.67+63844.51</f>
        <v>365795.67000000004</v>
      </c>
      <c r="I522" s="18">
        <f>1372.47+644.79</f>
        <v>2017.26</v>
      </c>
      <c r="J522" s="18">
        <f>1408.05+5943.02</f>
        <v>7351.0700000000006</v>
      </c>
      <c r="K522" s="18"/>
      <c r="L522" s="88">
        <f>SUM(F522:K522)</f>
        <v>1479529.6100000003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2705761.6900000004</v>
      </c>
      <c r="G523" s="108">
        <f t="shared" ref="G523:L523" si="36">SUM(G520:G522)</f>
        <v>1360178.1900000002</v>
      </c>
      <c r="H523" s="108">
        <f t="shared" si="36"/>
        <v>1229678.56</v>
      </c>
      <c r="I523" s="108">
        <f t="shared" si="36"/>
        <v>20129.079999999998</v>
      </c>
      <c r="J523" s="108">
        <f t="shared" si="36"/>
        <v>20619.580000000002</v>
      </c>
      <c r="K523" s="108">
        <f t="shared" si="36"/>
        <v>0</v>
      </c>
      <c r="L523" s="89">
        <f t="shared" si="36"/>
        <v>5336367.0999999996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224516.05</v>
      </c>
      <c r="G525" s="18">
        <f>F525*0.52</f>
        <v>116748.34600000001</v>
      </c>
      <c r="H525" s="18">
        <f>69473+19820.27</f>
        <v>89293.27</v>
      </c>
      <c r="I525" s="18">
        <v>2526.63</v>
      </c>
      <c r="J525" s="18">
        <f>935.01+1666.01</f>
        <v>2601.02</v>
      </c>
      <c r="K525" s="18"/>
      <c r="L525" s="88">
        <f>SUM(F525:K525)</f>
        <v>435685.31600000005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37260</v>
      </c>
      <c r="G526" s="18">
        <f>F526*0.52</f>
        <v>19375.2</v>
      </c>
      <c r="H526" s="18">
        <f>23685.28+10811.05</f>
        <v>34496.33</v>
      </c>
      <c r="I526" s="18">
        <v>1060.17</v>
      </c>
      <c r="J526" s="18"/>
      <c r="K526" s="18"/>
      <c r="L526" s="88">
        <f>SUM(F526:K526)</f>
        <v>92191.7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24840</v>
      </c>
      <c r="G527" s="18">
        <f>F527*0.52</f>
        <v>12916.800000000001</v>
      </c>
      <c r="H527" s="18">
        <f>4828.66+14414.74</f>
        <v>19243.400000000001</v>
      </c>
      <c r="I527" s="18">
        <v>1219.24</v>
      </c>
      <c r="J527" s="18"/>
      <c r="K527" s="18"/>
      <c r="L527" s="88">
        <f>SUM(F527:K527)</f>
        <v>58219.44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286616.05</v>
      </c>
      <c r="G528" s="89">
        <f t="shared" ref="G528:L528" si="37">SUM(G525:G527)</f>
        <v>149040.34599999999</v>
      </c>
      <c r="H528" s="89">
        <f t="shared" si="37"/>
        <v>143033</v>
      </c>
      <c r="I528" s="89">
        <f t="shared" si="37"/>
        <v>4806.04</v>
      </c>
      <c r="J528" s="89">
        <f t="shared" si="37"/>
        <v>2601.02</v>
      </c>
      <c r="K528" s="89">
        <f t="shared" si="37"/>
        <v>0</v>
      </c>
      <c r="L528" s="89">
        <f t="shared" si="37"/>
        <v>586096.45600000001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72252</v>
      </c>
      <c r="G530" s="18">
        <f>F530*0.52</f>
        <v>37571.040000000001</v>
      </c>
      <c r="H530" s="18">
        <v>986.48</v>
      </c>
      <c r="I530" s="18"/>
      <c r="J530" s="18"/>
      <c r="K530" s="18">
        <v>794</v>
      </c>
      <c r="L530" s="88">
        <f>SUM(F530:K530)</f>
        <v>111603.52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72252</v>
      </c>
      <c r="G531" s="18">
        <f>F531*0.52</f>
        <v>37571.040000000001</v>
      </c>
      <c r="H531" s="18">
        <v>976.2</v>
      </c>
      <c r="I531" s="18"/>
      <c r="J531" s="18"/>
      <c r="K531" s="18">
        <v>704</v>
      </c>
      <c r="L531" s="88">
        <f>SUM(F531:K531)</f>
        <v>111503.24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72252</v>
      </c>
      <c r="G532" s="18">
        <f>F532*0.52</f>
        <v>37571.040000000001</v>
      </c>
      <c r="H532" s="18">
        <v>1025.67</v>
      </c>
      <c r="I532" s="18"/>
      <c r="J532" s="18"/>
      <c r="K532" s="18">
        <v>700</v>
      </c>
      <c r="L532" s="88">
        <f>SUM(F532:K532)</f>
        <v>111548.71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216756</v>
      </c>
      <c r="G533" s="89">
        <f t="shared" ref="G533:L533" si="38">SUM(G530:G532)</f>
        <v>112713.12</v>
      </c>
      <c r="H533" s="89">
        <f t="shared" si="38"/>
        <v>2988.3500000000004</v>
      </c>
      <c r="I533" s="89">
        <f t="shared" si="38"/>
        <v>0</v>
      </c>
      <c r="J533" s="89">
        <f t="shared" si="38"/>
        <v>0</v>
      </c>
      <c r="K533" s="89">
        <f t="shared" si="38"/>
        <v>2198</v>
      </c>
      <c r="L533" s="89">
        <f t="shared" si="38"/>
        <v>334655.47000000003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8132.58</v>
      </c>
      <c r="I536" s="18"/>
      <c r="J536" s="18"/>
      <c r="K536" s="18"/>
      <c r="L536" s="88">
        <f>SUM(F536:K536)</f>
        <v>8132.58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198</v>
      </c>
      <c r="I537" s="18"/>
      <c r="J537" s="18"/>
      <c r="K537" s="18"/>
      <c r="L537" s="88">
        <f>SUM(F537:K537)</f>
        <v>198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8330.58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8330.58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92417.42</f>
        <v>92417.42</v>
      </c>
      <c r="I540" s="18"/>
      <c r="J540" s="18"/>
      <c r="K540" s="18"/>
      <c r="L540" s="88">
        <f>SUM(F540:K540)</f>
        <v>92417.42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53016.77</v>
      </c>
      <c r="I541" s="18"/>
      <c r="J541" s="18"/>
      <c r="K541" s="18"/>
      <c r="L541" s="88">
        <f>SUM(F541:K541)</f>
        <v>53016.77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62558.6</v>
      </c>
      <c r="I542" s="18"/>
      <c r="J542" s="18"/>
      <c r="K542" s="18"/>
      <c r="L542" s="88">
        <f>SUM(F542:K542)</f>
        <v>62558.6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207992.79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207992.79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3209133.74</v>
      </c>
      <c r="G544" s="89">
        <f t="shared" ref="G544:L544" si="41">G523+G528+G533+G538+G543</f>
        <v>1621931.656</v>
      </c>
      <c r="H544" s="89">
        <f t="shared" si="41"/>
        <v>1592023.2800000003</v>
      </c>
      <c r="I544" s="89">
        <f t="shared" si="41"/>
        <v>24935.119999999999</v>
      </c>
      <c r="J544" s="89">
        <f t="shared" si="41"/>
        <v>23220.600000000002</v>
      </c>
      <c r="K544" s="89">
        <f t="shared" si="41"/>
        <v>2198</v>
      </c>
      <c r="L544" s="89">
        <f t="shared" si="41"/>
        <v>6473442.3959999997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2511448.9399999995</v>
      </c>
      <c r="G548" s="87">
        <f>L525</f>
        <v>435685.31600000005</v>
      </c>
      <c r="H548" s="87">
        <f>L530</f>
        <v>111603.52</v>
      </c>
      <c r="I548" s="87">
        <f>L535</f>
        <v>0</v>
      </c>
      <c r="J548" s="87">
        <f>L540</f>
        <v>92417.42</v>
      </c>
      <c r="K548" s="87">
        <f>SUM(F548:J548)</f>
        <v>3151155.1959999995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1345388.55</v>
      </c>
      <c r="G549" s="87">
        <f>L526</f>
        <v>92191.7</v>
      </c>
      <c r="H549" s="87">
        <f>L531</f>
        <v>111503.24</v>
      </c>
      <c r="I549" s="87">
        <f>L536</f>
        <v>8132.58</v>
      </c>
      <c r="J549" s="87">
        <f>L541</f>
        <v>53016.77</v>
      </c>
      <c r="K549" s="87">
        <f>SUM(F549:J549)</f>
        <v>1610232.84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1479529.6100000003</v>
      </c>
      <c r="G550" s="87">
        <f>L527</f>
        <v>58219.44</v>
      </c>
      <c r="H550" s="87">
        <f>L532</f>
        <v>111548.71</v>
      </c>
      <c r="I550" s="87">
        <f>L537</f>
        <v>198</v>
      </c>
      <c r="J550" s="87">
        <f>L542</f>
        <v>62558.6</v>
      </c>
      <c r="K550" s="87">
        <f>SUM(F550:J550)</f>
        <v>1712054.3600000003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5336367.0999999996</v>
      </c>
      <c r="G551" s="89">
        <f t="shared" si="42"/>
        <v>586096.45600000001</v>
      </c>
      <c r="H551" s="89">
        <f t="shared" si="42"/>
        <v>334655.47000000003</v>
      </c>
      <c r="I551" s="89">
        <f t="shared" si="42"/>
        <v>8330.58</v>
      </c>
      <c r="J551" s="89">
        <f t="shared" si="42"/>
        <v>207992.79</v>
      </c>
      <c r="K551" s="89">
        <f t="shared" si="42"/>
        <v>6473442.3959999997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63612.3</v>
      </c>
      <c r="G578" s="18">
        <v>9933.83</v>
      </c>
      <c r="H578" s="18">
        <v>39758.49</v>
      </c>
      <c r="I578" s="87">
        <f t="shared" si="47"/>
        <v>113304.62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137617.48000000001</v>
      </c>
      <c r="G581" s="18">
        <v>135407.78</v>
      </c>
      <c r="H581" s="18">
        <v>171784.11</v>
      </c>
      <c r="I581" s="87">
        <f t="shared" si="47"/>
        <v>444809.37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1366.18</v>
      </c>
      <c r="I583" s="87">
        <f t="shared" si="47"/>
        <v>1366.18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153286.85+7450.26</f>
        <v>160737.11000000002</v>
      </c>
      <c r="I590" s="18">
        <f>83611.01+4063.78+0.01</f>
        <v>87674.799999999988</v>
      </c>
      <c r="J590" s="18">
        <f>111481.34+5418.37+0.01</f>
        <v>116899.71999999999</v>
      </c>
      <c r="K590" s="104">
        <f t="shared" ref="K590:K596" si="48">SUM(H590:J590)</f>
        <v>365311.63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71221.67+21195.75</f>
        <v>92417.42</v>
      </c>
      <c r="I591" s="18">
        <f>38848.19+14168.59</f>
        <v>53016.78</v>
      </c>
      <c r="J591" s="18">
        <f>51797.58+10761.02</f>
        <v>62558.600000000006</v>
      </c>
      <c r="K591" s="104">
        <f t="shared" si="48"/>
        <v>207992.80000000002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830</v>
      </c>
      <c r="K592" s="104">
        <f t="shared" si="48"/>
        <v>830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9483.83</f>
        <v>9483.83</v>
      </c>
      <c r="J593" s="18">
        <v>38708.67</v>
      </c>
      <c r="K593" s="104">
        <f t="shared" si="48"/>
        <v>48192.5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245+205</f>
        <v>450</v>
      </c>
      <c r="I594" s="18">
        <f>1889.58</f>
        <v>1889.58</v>
      </c>
      <c r="J594" s="18">
        <f>90+4090</f>
        <v>4180</v>
      </c>
      <c r="K594" s="104">
        <f t="shared" si="48"/>
        <v>6519.58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>
        <v>265</v>
      </c>
      <c r="J595" s="18"/>
      <c r="K595" s="104">
        <f t="shared" si="48"/>
        <v>265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253604.53000000003</v>
      </c>
      <c r="I597" s="108">
        <f>SUM(I590:I596)</f>
        <v>152329.98999999996</v>
      </c>
      <c r="J597" s="108">
        <f>SUM(J590:J596)</f>
        <v>223176.99</v>
      </c>
      <c r="K597" s="108">
        <f>SUM(K590:K596)</f>
        <v>629111.51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51596.02+29877.31-884.4-0.47</f>
        <v>80588.460000000006</v>
      </c>
      <c r="I603" s="18">
        <f>37546.79+15387.98-442.2</f>
        <v>52492.570000000007</v>
      </c>
      <c r="J603" s="18">
        <f>89664.92+83215.66-683.4</f>
        <v>172197.18000000002</v>
      </c>
      <c r="K603" s="104">
        <f>SUM(H603:J603)</f>
        <v>305278.21000000008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80588.460000000006</v>
      </c>
      <c r="I604" s="108">
        <f>SUM(I601:I603)</f>
        <v>52492.570000000007</v>
      </c>
      <c r="J604" s="108">
        <f>SUM(J601:J603)</f>
        <v>172197.18000000002</v>
      </c>
      <c r="K604" s="108">
        <f>SUM(K601:K603)</f>
        <v>305278.21000000008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2492.6+5155.5+5644.95</f>
        <v>13293.05</v>
      </c>
      <c r="G610" s="18">
        <f>F610*0.52</f>
        <v>6912.3859999999995</v>
      </c>
      <c r="H610" s="18">
        <v>3768.69</v>
      </c>
      <c r="I610" s="18">
        <f>424.14+99.64</f>
        <v>523.78</v>
      </c>
      <c r="J610" s="18"/>
      <c r="K610" s="18"/>
      <c r="L610" s="88">
        <f>SUM(F610:K610)</f>
        <v>24497.905999999995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1359.6+2812.09+3079.06</f>
        <v>7250.75</v>
      </c>
      <c r="G611" s="18">
        <f>F611*0.52</f>
        <v>3770.3900000000003</v>
      </c>
      <c r="H611" s="18">
        <v>2055.65</v>
      </c>
      <c r="I611" s="18">
        <f>231.35+54.35</f>
        <v>285.7</v>
      </c>
      <c r="J611" s="18"/>
      <c r="K611" s="18"/>
      <c r="L611" s="88">
        <f>SUM(F611:K611)</f>
        <v>13362.49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1812.8+3749.45+4105.42</f>
        <v>9667.67</v>
      </c>
      <c r="G612" s="18">
        <f>F612*0.52</f>
        <v>5027.1884</v>
      </c>
      <c r="H612" s="18">
        <v>2740.87</v>
      </c>
      <c r="I612" s="18">
        <f>308.46+72.47</f>
        <v>380.92999999999995</v>
      </c>
      <c r="J612" s="18"/>
      <c r="K612" s="18"/>
      <c r="L612" s="88">
        <f>SUM(F612:K612)</f>
        <v>17816.6584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30211.47</v>
      </c>
      <c r="G613" s="108">
        <f t="shared" si="49"/>
        <v>15709.964400000001</v>
      </c>
      <c r="H613" s="108">
        <f t="shared" si="49"/>
        <v>8565.2099999999991</v>
      </c>
      <c r="I613" s="108">
        <f t="shared" si="49"/>
        <v>1190.4099999999999</v>
      </c>
      <c r="J613" s="108">
        <f t="shared" si="49"/>
        <v>0</v>
      </c>
      <c r="K613" s="108">
        <f t="shared" si="49"/>
        <v>0</v>
      </c>
      <c r="L613" s="89">
        <f t="shared" si="49"/>
        <v>55677.054399999994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2397109.4800000004</v>
      </c>
      <c r="H616" s="109">
        <f>SUM(F51)</f>
        <v>2397109.48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74196.45</v>
      </c>
      <c r="H617" s="109">
        <f>SUM(G51)</f>
        <v>74196.45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503933.74</v>
      </c>
      <c r="H618" s="109">
        <f>SUM(H51)</f>
        <v>503933.74000000005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29454453.050000001</v>
      </c>
      <c r="H626" s="104">
        <f>SUM(F467)</f>
        <v>29454453.050000001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1181352.02</v>
      </c>
      <c r="H627" s="104">
        <f>SUM(G467)</f>
        <v>1181352.02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3960196.5300000003</v>
      </c>
      <c r="H628" s="104">
        <f>SUM(H467)</f>
        <v>3960196.53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29454453.050000001</v>
      </c>
      <c r="H631" s="104">
        <f>SUM(F471)</f>
        <v>29454453.050000001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3960196.5300000003</v>
      </c>
      <c r="H632" s="104">
        <f>SUM(H471)</f>
        <v>3960196.53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614515.74</v>
      </c>
      <c r="H633" s="104">
        <f>I368</f>
        <v>614515.73999999987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1181352.0200000003</v>
      </c>
      <c r="H634" s="104">
        <f>SUM(G471)</f>
        <v>1181352.02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629111.51</v>
      </c>
      <c r="H646" s="104">
        <f>L207+L225+L243</f>
        <v>629111.51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305278.21000000008</v>
      </c>
      <c r="H647" s="104">
        <f>(J256+J337)-(J254+J335)</f>
        <v>305278.21000000002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253604.53</v>
      </c>
      <c r="H648" s="104">
        <f>H597</f>
        <v>253604.53000000003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152329.99000000002</v>
      </c>
      <c r="H649" s="104">
        <f>I597</f>
        <v>152329.98999999996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223176.99</v>
      </c>
      <c r="H650" s="104">
        <f>J597</f>
        <v>223176.99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12655094.220000001</v>
      </c>
      <c r="G659" s="19">
        <f>(L228+L308+L358)</f>
        <v>7692392.75</v>
      </c>
      <c r="H659" s="19">
        <f>(L246+L327+L359)</f>
        <v>11359985.280000003</v>
      </c>
      <c r="I659" s="19">
        <f>SUM(F659:H659)</f>
        <v>31707472.25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183273.97434380907</v>
      </c>
      <c r="G660" s="19">
        <f>(L358/IF(SUM(L357:L359)=0,1,SUM(L357:L359))*(SUM(G96:G109)))</f>
        <v>112998.33257765369</v>
      </c>
      <c r="H660" s="19">
        <f>(L359/IF(SUM(L357:L359)=0,1,SUM(L357:L359))*(SUM(G96:G109)))</f>
        <v>116156.59307853723</v>
      </c>
      <c r="I660" s="19">
        <f>SUM(F660:H660)</f>
        <v>412428.9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260466.93</v>
      </c>
      <c r="G661" s="19">
        <f>(L225+L305)-(J225+J305)</f>
        <v>156073.12000000002</v>
      </c>
      <c r="H661" s="19">
        <f>(L243+L324)-(J243+J324)</f>
        <v>231926.74</v>
      </c>
      <c r="I661" s="19">
        <f>SUM(F661:H661)</f>
        <v>648466.79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306316.14600000007</v>
      </c>
      <c r="G662" s="200">
        <f>SUM(G574:G586)+SUM(I601:I603)+L611</f>
        <v>211196.66999999998</v>
      </c>
      <c r="H662" s="200">
        <f>SUM(H574:H586)+SUM(J601:J603)+L612</f>
        <v>402922.61839999998</v>
      </c>
      <c r="I662" s="19">
        <f>SUM(F662:H662)</f>
        <v>920435.43440000003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11905037.169656191</v>
      </c>
      <c r="G663" s="19">
        <f>G659-SUM(G660:G662)</f>
        <v>7212124.6274223467</v>
      </c>
      <c r="H663" s="19">
        <f>H659-SUM(H660:H662)</f>
        <v>10608979.328521466</v>
      </c>
      <c r="I663" s="19">
        <f>I659-SUM(I660:I662)</f>
        <v>29726141.125599999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910.87</v>
      </c>
      <c r="G664" s="249">
        <v>473.59</v>
      </c>
      <c r="H664" s="249">
        <v>622.79</v>
      </c>
      <c r="I664" s="19">
        <f>SUM(F664:H664)</f>
        <v>2007.25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13069.96</v>
      </c>
      <c r="G666" s="19">
        <f>ROUND(G663/G664,2)</f>
        <v>15228.63</v>
      </c>
      <c r="H666" s="19">
        <f>ROUND(H663/H664,2)</f>
        <v>17034.599999999999</v>
      </c>
      <c r="I666" s="19">
        <f>ROUND(I663/I664,2)</f>
        <v>14809.39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87.79</v>
      </c>
      <c r="I669" s="19">
        <f>SUM(F669:H669)</f>
        <v>87.79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13069.96</v>
      </c>
      <c r="G671" s="19">
        <f>ROUND((G663+G668)/(G664+G669),2)</f>
        <v>15228.63</v>
      </c>
      <c r="H671" s="19">
        <f>ROUND((H663+H668)/(H664+H669),2)</f>
        <v>14930.03</v>
      </c>
      <c r="I671" s="19">
        <f>ROUND((I663+I668)/(I664+I669),2)</f>
        <v>14188.82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G16" sqref="G16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Laconia SD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7926963.0399999991</v>
      </c>
      <c r="C9" s="230">
        <f>'DOE25'!G196+'DOE25'!G214+'DOE25'!G232+'DOE25'!G275+'DOE25'!G294+'DOE25'!G313</f>
        <v>3919376.53</v>
      </c>
    </row>
    <row r="10" spans="1:3">
      <c r="A10" t="s">
        <v>779</v>
      </c>
      <c r="B10" s="241">
        <f>6540055.7+934382.73+179375</f>
        <v>7653813.4299999997</v>
      </c>
      <c r="C10" s="241">
        <f>C9-(C11+C12)</f>
        <v>3777338.7327999999</v>
      </c>
    </row>
    <row r="11" spans="1:3">
      <c r="A11" t="s">
        <v>780</v>
      </c>
      <c r="B11" s="241">
        <f>64125.6+14467.28</f>
        <v>78592.88</v>
      </c>
      <c r="C11" s="241">
        <f>B11*0.52</f>
        <v>40868.297600000005</v>
      </c>
    </row>
    <row r="12" spans="1:3">
      <c r="A12" t="s">
        <v>781</v>
      </c>
      <c r="B12" s="241">
        <f>75722.9+118833.83</f>
        <v>194556.72999999998</v>
      </c>
      <c r="C12" s="241">
        <f>B12*0.52</f>
        <v>101169.4996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7926963.0399999991</v>
      </c>
      <c r="C13" s="232">
        <f>SUM(C10:C12)</f>
        <v>3919376.5300000003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2922517.69</v>
      </c>
      <c r="C18" s="230">
        <f>'DOE25'!G197+'DOE25'!G215+'DOE25'!G233+'DOE25'!G276+'DOE25'!G295+'DOE25'!G314</f>
        <v>1472891.31</v>
      </c>
    </row>
    <row r="19" spans="1:3">
      <c r="A19" t="s">
        <v>779</v>
      </c>
      <c r="B19" s="241">
        <f>1522894.95+60710.74+11340</f>
        <v>1594945.69</v>
      </c>
      <c r="C19" s="241">
        <f>C18-(C20+C21)</f>
        <v>782553.87</v>
      </c>
    </row>
    <row r="20" spans="1:3">
      <c r="A20" t="s">
        <v>780</v>
      </c>
      <c r="B20" s="241">
        <f>875814.99+10871.01</f>
        <v>886686</v>
      </c>
      <c r="C20" s="241">
        <f>B20*0.52</f>
        <v>461076.72000000003</v>
      </c>
    </row>
    <row r="21" spans="1:3">
      <c r="A21" t="s">
        <v>781</v>
      </c>
      <c r="B21" s="241">
        <f>266436+174450</f>
        <v>440886</v>
      </c>
      <c r="C21" s="241">
        <f>B21*0.52</f>
        <v>229260.72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2922517.69</v>
      </c>
      <c r="C22" s="232">
        <f>SUM(C19:C21)</f>
        <v>1472891.31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996802.77999999991</v>
      </c>
      <c r="C27" s="235">
        <f>'DOE25'!G198+'DOE25'!G216+'DOE25'!G234+'DOE25'!G277+'DOE25'!G296+'DOE25'!G315</f>
        <v>487442.89</v>
      </c>
    </row>
    <row r="28" spans="1:3">
      <c r="A28" t="s">
        <v>779</v>
      </c>
      <c r="B28" s="241">
        <f>652104.34+23550+91785.68+823.65</f>
        <v>768263.67</v>
      </c>
      <c r="C28" s="241">
        <f>C27-(C29+C30)</f>
        <v>368602.5528</v>
      </c>
    </row>
    <row r="29" spans="1:3">
      <c r="A29" t="s">
        <v>780</v>
      </c>
      <c r="B29" s="241"/>
      <c r="C29" s="241">
        <f>B29*0.52</f>
        <v>0</v>
      </c>
    </row>
    <row r="30" spans="1:3">
      <c r="A30" t="s">
        <v>781</v>
      </c>
      <c r="B30" s="241">
        <f>228539.11</f>
        <v>228539.11</v>
      </c>
      <c r="C30" s="241">
        <f>B30*0.52</f>
        <v>118840.33719999999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996802.78</v>
      </c>
      <c r="C31" s="232">
        <f>SUM(C28:C30)</f>
        <v>487442.89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531264.91999999993</v>
      </c>
      <c r="C36" s="236">
        <f>'DOE25'!G199+'DOE25'!G217+'DOE25'!G235+'DOE25'!G278+'DOE25'!G297+'DOE25'!G316</f>
        <v>128851.71</v>
      </c>
    </row>
    <row r="37" spans="1:3">
      <c r="A37" t="s">
        <v>779</v>
      </c>
      <c r="B37" s="241">
        <f>205065.02+326199.9</f>
        <v>531264.92000000004</v>
      </c>
      <c r="C37" s="241">
        <f>106222.71+22629</f>
        <v>128851.71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531264.92000000004</v>
      </c>
      <c r="C40" s="232">
        <f>SUM(C37:C39)</f>
        <v>128851.71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FY2011-2012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33" sqref="D33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Laconia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17854984.330000002</v>
      </c>
      <c r="D5" s="20">
        <f>SUM('DOE25'!L196:L199)+SUM('DOE25'!L214:L217)+SUM('DOE25'!L232:L235)-F5-G5</f>
        <v>17782065.220000003</v>
      </c>
      <c r="E5" s="244"/>
      <c r="F5" s="256">
        <f>SUM('DOE25'!J196:J199)+SUM('DOE25'!J214:J217)+SUM('DOE25'!J232:J235)</f>
        <v>70566.11</v>
      </c>
      <c r="G5" s="53">
        <f>SUM('DOE25'!K196:K199)+SUM('DOE25'!K214:K217)+SUM('DOE25'!K232:K235)</f>
        <v>2353</v>
      </c>
      <c r="H5" s="260"/>
    </row>
    <row r="6" spans="1:9">
      <c r="A6" s="32">
        <v>2100</v>
      </c>
      <c r="B6" t="s">
        <v>801</v>
      </c>
      <c r="C6" s="246">
        <f t="shared" si="0"/>
        <v>1769791.5</v>
      </c>
      <c r="D6" s="20">
        <f>'DOE25'!L201+'DOE25'!L219+'DOE25'!L237-F6-G6</f>
        <v>1768856.49</v>
      </c>
      <c r="E6" s="244"/>
      <c r="F6" s="256">
        <f>'DOE25'!J201+'DOE25'!J219+'DOE25'!J237</f>
        <v>935.01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1019788.55</v>
      </c>
      <c r="D7" s="20">
        <f>'DOE25'!L202+'DOE25'!L220+'DOE25'!L238-F7-G7</f>
        <v>960679.57000000007</v>
      </c>
      <c r="E7" s="244"/>
      <c r="F7" s="256">
        <f>'DOE25'!J202+'DOE25'!J220+'DOE25'!J238</f>
        <v>59108.979999999996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428630.76999999996</v>
      </c>
      <c r="D8" s="244"/>
      <c r="E8" s="20">
        <f>'DOE25'!L203+'DOE25'!L221+'DOE25'!L239-F8-G8-D9-D11</f>
        <v>391964.62999999995</v>
      </c>
      <c r="F8" s="256">
        <f>'DOE25'!J203+'DOE25'!J221+'DOE25'!J239</f>
        <v>0</v>
      </c>
      <c r="G8" s="53">
        <f>'DOE25'!K203+'DOE25'!K221+'DOE25'!K239</f>
        <v>36666.14</v>
      </c>
      <c r="H8" s="260"/>
    </row>
    <row r="9" spans="1:9">
      <c r="A9" s="32">
        <v>2310</v>
      </c>
      <c r="B9" t="s">
        <v>818</v>
      </c>
      <c r="C9" s="246">
        <f t="shared" si="0"/>
        <v>38765.47</v>
      </c>
      <c r="D9" s="245">
        <v>38765.47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20000</v>
      </c>
      <c r="D10" s="244"/>
      <c r="E10" s="245">
        <v>20000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367581.68</v>
      </c>
      <c r="D11" s="245">
        <f>269372.68+96709+1500</f>
        <v>367581.68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1612436.66</v>
      </c>
      <c r="D12" s="20">
        <f>'DOE25'!L204+'DOE25'!L222+'DOE25'!L240-F12-G12</f>
        <v>1599522.5999999999</v>
      </c>
      <c r="E12" s="244"/>
      <c r="F12" s="256">
        <f>'DOE25'!J204+'DOE25'!J222+'DOE25'!J240</f>
        <v>0</v>
      </c>
      <c r="G12" s="53">
        <f>'DOE25'!K204+'DOE25'!K222+'DOE25'!K240</f>
        <v>12914.06</v>
      </c>
      <c r="H12" s="260"/>
    </row>
    <row r="13" spans="1:9">
      <c r="A13" s="32">
        <v>2500</v>
      </c>
      <c r="B13" t="s">
        <v>803</v>
      </c>
      <c r="C13" s="246">
        <f t="shared" si="0"/>
        <v>422536.3600000001</v>
      </c>
      <c r="D13" s="244"/>
      <c r="E13" s="20">
        <f>'DOE25'!L205+'DOE25'!L223+'DOE25'!L241-F13-G13</f>
        <v>421206.37000000011</v>
      </c>
      <c r="F13" s="256">
        <f>'DOE25'!J205+'DOE25'!J223+'DOE25'!J241</f>
        <v>1329.9900000000002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2667752.2400000002</v>
      </c>
      <c r="D14" s="20">
        <f>'DOE25'!L206+'DOE25'!L224+'DOE25'!L242-F14-G14</f>
        <v>2622885.06</v>
      </c>
      <c r="E14" s="244"/>
      <c r="F14" s="256">
        <f>'DOE25'!J206+'DOE25'!J224+'DOE25'!J242</f>
        <v>44867.18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629111.51</v>
      </c>
      <c r="D15" s="20">
        <f>'DOE25'!L207+'DOE25'!L225+'DOE25'!L243-F15-G15</f>
        <v>629111.51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242955.09000000003</v>
      </c>
      <c r="D17" s="20">
        <f>'DOE25'!L250-F17-G17</f>
        <v>237842.12000000002</v>
      </c>
      <c r="E17" s="244"/>
      <c r="F17" s="256">
        <f>'DOE25'!J250</f>
        <v>2000</v>
      </c>
      <c r="G17" s="53">
        <f>'DOE25'!K250</f>
        <v>3112.97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131333.89000000001</v>
      </c>
      <c r="D22" s="244"/>
      <c r="E22" s="244"/>
      <c r="F22" s="256">
        <f>'DOE25'!L254+'DOE25'!L335</f>
        <v>131333.89000000001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2268785</v>
      </c>
      <c r="D25" s="244"/>
      <c r="E25" s="244"/>
      <c r="F25" s="259"/>
      <c r="G25" s="257"/>
      <c r="H25" s="258">
        <f>'DOE25'!L259+'DOE25'!L260+'DOE25'!L340+'DOE25'!L341</f>
        <v>2268785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612180.60000000033</v>
      </c>
      <c r="D29" s="20">
        <f>'DOE25'!L357+'DOE25'!L358+'DOE25'!L359-'DOE25'!I366-F29-G29</f>
        <v>606059.93000000028</v>
      </c>
      <c r="E29" s="244"/>
      <c r="F29" s="256">
        <f>'DOE25'!J357+'DOE25'!J358+'DOE25'!J359</f>
        <v>6120.67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3958531.49</v>
      </c>
      <c r="D31" s="20">
        <f>'DOE25'!L289+'DOE25'!L308+'DOE25'!L327+'DOE25'!L332+'DOE25'!L333+'DOE25'!L334-F31-G31</f>
        <v>3823006.7500000005</v>
      </c>
      <c r="E31" s="244"/>
      <c r="F31" s="256">
        <f>'DOE25'!J289+'DOE25'!J308+'DOE25'!J327+'DOE25'!J332+'DOE25'!J333+'DOE25'!J334</f>
        <v>126470.94000000002</v>
      </c>
      <c r="G31" s="53">
        <f>'DOE25'!K289+'DOE25'!K308+'DOE25'!K327+'DOE25'!K332+'DOE25'!K333+'DOE25'!K334</f>
        <v>9053.8000000000011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30436376.400000002</v>
      </c>
      <c r="E33" s="247">
        <f>SUM(E5:E31)</f>
        <v>833171</v>
      </c>
      <c r="F33" s="247">
        <f>SUM(F5:F31)</f>
        <v>442732.77</v>
      </c>
      <c r="G33" s="247">
        <f>SUM(G5:G31)</f>
        <v>64099.97</v>
      </c>
      <c r="H33" s="247">
        <f>SUM(H5:H31)</f>
        <v>2268785</v>
      </c>
    </row>
    <row r="35" spans="2:8" ht="12" thickBot="1">
      <c r="B35" s="254" t="s">
        <v>847</v>
      </c>
      <c r="D35" s="255">
        <f>E33</f>
        <v>833171</v>
      </c>
      <c r="E35" s="250"/>
    </row>
    <row r="36" spans="2:8" ht="12" thickTop="1">
      <c r="B36" t="s">
        <v>815</v>
      </c>
      <c r="D36" s="20">
        <f>D33</f>
        <v>30436376.400000002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7" activePane="bottomLeft" state="frozen"/>
      <selection pane="bottomLeft" activeCell="F155" sqref="F155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Laconia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200</v>
      </c>
      <c r="D8" s="95">
        <f>'DOE25'!G9</f>
        <v>350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2091231.96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230566.18</v>
      </c>
      <c r="D12" s="95">
        <f>'DOE25'!G13</f>
        <v>42458.84</v>
      </c>
      <c r="E12" s="95">
        <f>'DOE25'!H13</f>
        <v>503169.64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5073.1000000000004</v>
      </c>
      <c r="D13" s="95">
        <f>'DOE25'!G14</f>
        <v>0</v>
      </c>
      <c r="E13" s="95">
        <f>'DOE25'!H14</f>
        <v>60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31312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59488.24</v>
      </c>
      <c r="D16" s="95">
        <f>'DOE25'!G17</f>
        <v>75.61</v>
      </c>
      <c r="E16" s="95">
        <f>'DOE25'!H17</f>
        <v>704.1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10550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2397109.4800000004</v>
      </c>
      <c r="D18" s="41">
        <f>SUM(D8:D17)</f>
        <v>74196.45</v>
      </c>
      <c r="E18" s="41">
        <f>SUM(E8:E17)</f>
        <v>503933.74</v>
      </c>
      <c r="F18" s="41">
        <f>SUM(F8:F17)</f>
        <v>0</v>
      </c>
      <c r="G18" s="41">
        <f>SUM(G8:G17)</f>
        <v>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-471188.43000000005</v>
      </c>
      <c r="D21" s="95">
        <f>'DOE25'!G22</f>
        <v>59703.09</v>
      </c>
      <c r="E21" s="95">
        <f>'DOE25'!H22</f>
        <v>411485.34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103.6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2504519.37</v>
      </c>
      <c r="D23" s="95">
        <f>'DOE25'!G24</f>
        <v>0</v>
      </c>
      <c r="E23" s="95">
        <f>'DOE25'!H24</f>
        <v>5483.03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41237.760000000002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3860</v>
      </c>
      <c r="D29" s="95">
        <f>'DOE25'!G30</f>
        <v>0</v>
      </c>
      <c r="E29" s="95">
        <f>'DOE25'!H30</f>
        <v>86965.37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318680.78000000003</v>
      </c>
      <c r="D30" s="95">
        <f>'DOE25'!G31</f>
        <v>14389.76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2397109.48</v>
      </c>
      <c r="D31" s="41">
        <f>SUM(D21:D30)</f>
        <v>74196.45</v>
      </c>
      <c r="E31" s="41">
        <f>SUM(E21:E30)</f>
        <v>503933.74000000005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0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>
      <c r="A50" s="38" t="s">
        <v>895</v>
      </c>
      <c r="B50" s="2"/>
      <c r="C50" s="41">
        <f>C49+C31</f>
        <v>2397109.48</v>
      </c>
      <c r="D50" s="41">
        <f>D49+D31</f>
        <v>74196.45</v>
      </c>
      <c r="E50" s="41">
        <f>E49+E31</f>
        <v>503933.74000000005</v>
      </c>
      <c r="F50" s="41">
        <f>F49+F31</f>
        <v>0</v>
      </c>
      <c r="G50" s="41">
        <f>G49+G31</f>
        <v>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15661132.789999999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439351.72</v>
      </c>
      <c r="D56" s="24" t="s">
        <v>289</v>
      </c>
      <c r="E56" s="95">
        <f>'DOE25'!H78</f>
        <v>152870.20000000001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412428.9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6119.5</v>
      </c>
      <c r="D60" s="95">
        <f>SUM('DOE25'!G97:G109)</f>
        <v>0</v>
      </c>
      <c r="E60" s="95">
        <f>SUM('DOE25'!H97:H109)</f>
        <v>207637.57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445471.22</v>
      </c>
      <c r="D61" s="130">
        <f>SUM(D56:D60)</f>
        <v>412428.9</v>
      </c>
      <c r="E61" s="130">
        <f>SUM(E56:E60)</f>
        <v>360507.77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16106604.01</v>
      </c>
      <c r="D62" s="22">
        <f>D55+D61</f>
        <v>412428.9</v>
      </c>
      <c r="E62" s="22">
        <f>E55+E61</f>
        <v>360507.77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6455289.9199999999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4722011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5593.08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33301.72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11182894</v>
      </c>
      <c r="D69" s="139">
        <f>D68</f>
        <v>33301.72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702401.7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47913.83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1050608.05</v>
      </c>
      <c r="D75" s="24" t="s">
        <v>289</v>
      </c>
      <c r="E75" s="95">
        <f>SUM('DOE25'!H126:H129)</f>
        <v>106779.93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43531.32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1800923.58</v>
      </c>
      <c r="D77" s="130">
        <f>SUM(D71:D76)</f>
        <v>43531.32</v>
      </c>
      <c r="E77" s="130">
        <f>SUM(E71:E76)</f>
        <v>106779.93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12983817.58</v>
      </c>
      <c r="D80" s="130">
        <f>SUM(D78:D79)+D77+D69</f>
        <v>76833.040000000008</v>
      </c>
      <c r="E80" s="130">
        <f>SUM(E78:E79)+E77+E69</f>
        <v>106779.93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763637.58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364031.46</v>
      </c>
      <c r="D87" s="95">
        <f>SUM('DOE25'!G152:G160)</f>
        <v>692090.08</v>
      </c>
      <c r="E87" s="95">
        <f>SUM('DOE25'!H152:H160)</f>
        <v>2727087.01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364031.46</v>
      </c>
      <c r="D90" s="131">
        <f>SUM(D84:D89)</f>
        <v>692090.08</v>
      </c>
      <c r="E90" s="131">
        <f>SUM(E84:E89)</f>
        <v>3490724.59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2184.2399999999998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2184.2399999999998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29454453.050000001</v>
      </c>
      <c r="D103" s="86">
        <f>D62+D80+D90+D102</f>
        <v>1181352.02</v>
      </c>
      <c r="E103" s="86">
        <f>E62+E80+E90+E102</f>
        <v>3960196.5300000003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10891075.129999999</v>
      </c>
      <c r="D108" s="24" t="s">
        <v>289</v>
      </c>
      <c r="E108" s="95">
        <f>('DOE25'!L275)+('DOE25'!L294)+('DOE25'!L313)</f>
        <v>2211426.2200000002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5110451.9400000004</v>
      </c>
      <c r="D109" s="24" t="s">
        <v>289</v>
      </c>
      <c r="E109" s="95">
        <f>('DOE25'!L276)+('DOE25'!L295)+('DOE25'!L314)</f>
        <v>560525.62999999989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1450081.52</v>
      </c>
      <c r="D110" s="24" t="s">
        <v>289</v>
      </c>
      <c r="E110" s="95">
        <f>('DOE25'!L277)+('DOE25'!L296)+('DOE25'!L315)</f>
        <v>191267.05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403375.73999999993</v>
      </c>
      <c r="D111" s="24" t="s">
        <v>289</v>
      </c>
      <c r="E111" s="95">
        <f>+('DOE25'!L278)+('DOE25'!L297)+('DOE25'!L316)</f>
        <v>362529.7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242955.09000000003</v>
      </c>
      <c r="D113" s="24" t="s">
        <v>289</v>
      </c>
      <c r="E113" s="95">
        <f>+ SUM('DOE25'!L332:L334)</f>
        <v>243790.33000000002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18097939.419999998</v>
      </c>
      <c r="D114" s="86">
        <f>SUM(D108:D113)</f>
        <v>0</v>
      </c>
      <c r="E114" s="86">
        <f>SUM(E108:E113)</f>
        <v>3569538.93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1769791.5</v>
      </c>
      <c r="D117" s="24" t="s">
        <v>289</v>
      </c>
      <c r="E117" s="95">
        <f>+('DOE25'!L280)+('DOE25'!L299)+('DOE25'!L318)</f>
        <v>104600.32000000001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1019788.55</v>
      </c>
      <c r="D118" s="24" t="s">
        <v>289</v>
      </c>
      <c r="E118" s="95">
        <f>+('DOE25'!L281)+('DOE25'!L300)+('DOE25'!L319)</f>
        <v>265036.95999999996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834977.91999999993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1612436.66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422536.3600000001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2667752.2400000002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629111.51</v>
      </c>
      <c r="D123" s="24" t="s">
        <v>289</v>
      </c>
      <c r="E123" s="95">
        <f>+('DOE25'!L286)+('DOE25'!L305)+('DOE25'!L324)</f>
        <v>19355.28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1181352.0200000003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8956394.7400000002</v>
      </c>
      <c r="D127" s="86">
        <f>SUM(D117:D126)</f>
        <v>1181352.0200000003</v>
      </c>
      <c r="E127" s="86">
        <f>SUM(E117:E126)</f>
        <v>388992.55999999994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131333.89000000001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1746784.12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522000.88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1665.04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2400118.89</v>
      </c>
      <c r="D143" s="141">
        <f>SUM(D129:D142)</f>
        <v>0</v>
      </c>
      <c r="E143" s="141">
        <f>SUM(E129:E142)</f>
        <v>1665.04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29454453.049999997</v>
      </c>
      <c r="D144" s="86">
        <f>(D114+D127+D143)</f>
        <v>1181352.0200000003</v>
      </c>
      <c r="E144" s="86">
        <f>(E114+E127+E143)</f>
        <v>3960196.5300000003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10" sqref="G10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Laconia SD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13070</v>
      </c>
    </row>
    <row r="5" spans="1:4">
      <c r="B5" t="s">
        <v>704</v>
      </c>
      <c r="C5" s="179">
        <f>IF('DOE25'!G664+'DOE25'!G669=0,0,ROUND('DOE25'!G671,0))</f>
        <v>15229</v>
      </c>
    </row>
    <row r="6" spans="1:4">
      <c r="B6" t="s">
        <v>62</v>
      </c>
      <c r="C6" s="179">
        <f>IF('DOE25'!H664+'DOE25'!H669=0,0,ROUND('DOE25'!H671,0))</f>
        <v>14930</v>
      </c>
    </row>
    <row r="7" spans="1:4">
      <c r="B7" t="s">
        <v>705</v>
      </c>
      <c r="C7" s="179">
        <f>IF('DOE25'!I664+'DOE25'!I669=0,0,ROUND('DOE25'!I671,0))</f>
        <v>14189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13102501</v>
      </c>
      <c r="D10" s="182">
        <f>ROUND((C10/$C$28)*100,1)</f>
        <v>40.6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5670978</v>
      </c>
      <c r="D11" s="182">
        <f>ROUND((C11/$C$28)*100,1)</f>
        <v>17.600000000000001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1641349</v>
      </c>
      <c r="D12" s="182">
        <f>ROUND((C12/$C$28)*100,1)</f>
        <v>5.0999999999999996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765905</v>
      </c>
      <c r="D13" s="182">
        <f>ROUND((C13/$C$28)*100,1)</f>
        <v>2.4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1874392</v>
      </c>
      <c r="D15" s="182">
        <f t="shared" ref="D15:D27" si="0">ROUND((C15/$C$28)*100,1)</f>
        <v>5.8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1284826</v>
      </c>
      <c r="D16" s="182">
        <f t="shared" si="0"/>
        <v>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834978</v>
      </c>
      <c r="D17" s="182">
        <f t="shared" si="0"/>
        <v>2.6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1612437</v>
      </c>
      <c r="D18" s="182">
        <f t="shared" si="0"/>
        <v>5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422536</v>
      </c>
      <c r="D19" s="182">
        <f t="shared" si="0"/>
        <v>1.3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2667752</v>
      </c>
      <c r="D20" s="182">
        <f t="shared" si="0"/>
        <v>8.3000000000000007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648467</v>
      </c>
      <c r="D21" s="182">
        <f t="shared" si="0"/>
        <v>2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486745</v>
      </c>
      <c r="D24" s="182">
        <f t="shared" si="0"/>
        <v>1.5</v>
      </c>
    </row>
    <row r="25" spans="1:4">
      <c r="A25">
        <v>5120</v>
      </c>
      <c r="B25" t="s">
        <v>720</v>
      </c>
      <c r="C25" s="179">
        <f>ROUND('DOE25'!L260+'DOE25'!L341,0)</f>
        <v>522001</v>
      </c>
      <c r="D25" s="182">
        <f t="shared" si="0"/>
        <v>1.6</v>
      </c>
    </row>
    <row r="26" spans="1:4">
      <c r="A26" s="183" t="s">
        <v>721</v>
      </c>
      <c r="B26" t="s">
        <v>722</v>
      </c>
      <c r="C26" s="179">
        <f>'DOE25'!L267+'DOE25'!L268+'DOE25'!L348+'DOE25'!L349</f>
        <v>1665.04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768923.1</v>
      </c>
      <c r="D27" s="182">
        <f t="shared" si="0"/>
        <v>2.4</v>
      </c>
    </row>
    <row r="28" spans="1:4">
      <c r="B28" s="187" t="s">
        <v>723</v>
      </c>
      <c r="C28" s="180">
        <f>SUM(C10:C27)</f>
        <v>32305455.140000001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131334</v>
      </c>
    </row>
    <row r="30" spans="1:4">
      <c r="B30" s="187" t="s">
        <v>729</v>
      </c>
      <c r="C30" s="180">
        <f>SUM(C28:C29)</f>
        <v>32436789.140000001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1746784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15661133</v>
      </c>
      <c r="D35" s="182">
        <f t="shared" ref="D35:D40" si="1">ROUND((C35/$C$41)*100,1)</f>
        <v>45.8</v>
      </c>
    </row>
    <row r="36" spans="1:4">
      <c r="B36" s="185" t="s">
        <v>743</v>
      </c>
      <c r="C36" s="179">
        <f>SUM('DOE25'!F111:J111)-SUM('DOE25'!G96:G109)+('DOE25'!F173+'DOE25'!F174+'DOE25'!I173+'DOE25'!I174)-C35</f>
        <v>805978.77999999933</v>
      </c>
      <c r="D36" s="182">
        <f t="shared" si="1"/>
        <v>2.4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11182894</v>
      </c>
      <c r="D37" s="182">
        <f t="shared" si="1"/>
        <v>32.700000000000003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1984537</v>
      </c>
      <c r="D38" s="182">
        <f t="shared" si="1"/>
        <v>5.8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4546846</v>
      </c>
      <c r="D39" s="182">
        <f t="shared" si="1"/>
        <v>13.3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34181388.780000001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7" sqref="C57:M57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Laconia SD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EC39:EM39"/>
    <mergeCell ref="GC39:GM39"/>
    <mergeCell ref="BP39:BZ39"/>
    <mergeCell ref="CC39:CM39"/>
    <mergeCell ref="CP39:CZ39"/>
    <mergeCell ref="C45:M45"/>
    <mergeCell ref="C46:M46"/>
    <mergeCell ref="GC40:GM40"/>
    <mergeCell ref="GP40:GZ40"/>
    <mergeCell ref="EC40:EM40"/>
    <mergeCell ref="C44:M44"/>
    <mergeCell ref="C40:M40"/>
    <mergeCell ref="C43:M43"/>
    <mergeCell ref="EP40:EZ40"/>
    <mergeCell ref="P40:Z40"/>
    <mergeCell ref="AC40:AM40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HP39:HZ39"/>
    <mergeCell ref="HC39:HM39"/>
    <mergeCell ref="HC40:HM40"/>
    <mergeCell ref="HP40:HZ40"/>
    <mergeCell ref="IC40:IM40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GP32:GZ32"/>
    <mergeCell ref="DC32:DM32"/>
    <mergeCell ref="DP32:DZ32"/>
    <mergeCell ref="EC32:EM32"/>
    <mergeCell ref="FP32:FZ32"/>
    <mergeCell ref="GC32:GM32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GP31:GZ31"/>
    <mergeCell ref="BP38:BZ38"/>
    <mergeCell ref="CC38:CM38"/>
    <mergeCell ref="CC32:CM32"/>
    <mergeCell ref="CP38:CZ38"/>
    <mergeCell ref="BP32:BZ32"/>
    <mergeCell ref="BC38:BM38"/>
    <mergeCell ref="DC38:DM38"/>
    <mergeCell ref="DP38:DZ38"/>
    <mergeCell ref="EC38:EM38"/>
    <mergeCell ref="EP38:EZ38"/>
    <mergeCell ref="FC38:FM38"/>
    <mergeCell ref="FP38:FZ38"/>
    <mergeCell ref="DC39:DM39"/>
    <mergeCell ref="DP39:DZ39"/>
    <mergeCell ref="P30:Z30"/>
    <mergeCell ref="AC30:AM30"/>
    <mergeCell ref="AP30:AZ30"/>
    <mergeCell ref="C41:M41"/>
    <mergeCell ref="C33:M33"/>
    <mergeCell ref="C37:M37"/>
    <mergeCell ref="C38:M38"/>
    <mergeCell ref="C39:M39"/>
    <mergeCell ref="AP40:AZ40"/>
    <mergeCell ref="AC38:AM38"/>
    <mergeCell ref="AP38:AZ38"/>
    <mergeCell ref="AC32:AM32"/>
    <mergeCell ref="AP32:AZ32"/>
    <mergeCell ref="P39:Z39"/>
    <mergeCell ref="AC39:AM39"/>
    <mergeCell ref="AP39:AZ39"/>
    <mergeCell ref="P31:Z31"/>
    <mergeCell ref="C35:M35"/>
    <mergeCell ref="C36:M36"/>
    <mergeCell ref="C5:M5"/>
    <mergeCell ref="C6:M6"/>
    <mergeCell ref="C7:M7"/>
    <mergeCell ref="C8:M8"/>
    <mergeCell ref="C20:M20"/>
    <mergeCell ref="BC29:BM29"/>
    <mergeCell ref="P38:Z38"/>
    <mergeCell ref="AC31:AM31"/>
    <mergeCell ref="IP29:IV29"/>
    <mergeCell ref="FP29:FZ29"/>
    <mergeCell ref="GC29:GM29"/>
    <mergeCell ref="GP29:GZ29"/>
    <mergeCell ref="HC29:HM29"/>
    <mergeCell ref="HP29:HZ29"/>
    <mergeCell ref="IC29:IM29"/>
    <mergeCell ref="CP29:CZ29"/>
    <mergeCell ref="DC29:DM29"/>
    <mergeCell ref="DP29:DZ29"/>
    <mergeCell ref="EC29:EM29"/>
    <mergeCell ref="EP29:EZ29"/>
    <mergeCell ref="FC29:FM29"/>
    <mergeCell ref="IC30:IM30"/>
    <mergeCell ref="IP30:IV30"/>
    <mergeCell ref="BC31:BM31"/>
    <mergeCell ref="C9:M9"/>
    <mergeCell ref="C10:M10"/>
    <mergeCell ref="C11:M11"/>
    <mergeCell ref="C12:M12"/>
    <mergeCell ref="AP31:AZ31"/>
    <mergeCell ref="P32:Z32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BC32:BM32"/>
    <mergeCell ref="C14:M14"/>
    <mergeCell ref="C15:M15"/>
    <mergeCell ref="C16:M16"/>
    <mergeCell ref="C17:M17"/>
    <mergeCell ref="C18:M18"/>
    <mergeCell ref="C19:M19"/>
    <mergeCell ref="C21:M21"/>
    <mergeCell ref="C26:M26"/>
    <mergeCell ref="C27:M27"/>
    <mergeCell ref="A1:I1"/>
    <mergeCell ref="C3:M3"/>
    <mergeCell ref="C4:M4"/>
    <mergeCell ref="F2:I2"/>
    <mergeCell ref="A2:E2"/>
    <mergeCell ref="C13:M13"/>
    <mergeCell ref="C22:M22"/>
    <mergeCell ref="C23:M2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34:M34"/>
    <mergeCell ref="C28:M28"/>
    <mergeCell ref="C32:M32"/>
    <mergeCell ref="C30:M30"/>
    <mergeCell ref="C31:M31"/>
    <mergeCell ref="C66:M66"/>
    <mergeCell ref="C67:M67"/>
    <mergeCell ref="C68:M68"/>
    <mergeCell ref="C69:M69"/>
    <mergeCell ref="C62:M62"/>
    <mergeCell ref="C63:M63"/>
    <mergeCell ref="C64:M64"/>
    <mergeCell ref="C65:M65"/>
    <mergeCell ref="C42:M42"/>
    <mergeCell ref="C77:M77"/>
    <mergeCell ref="C78:M78"/>
    <mergeCell ref="C70:M70"/>
    <mergeCell ref="A72:E72"/>
    <mergeCell ref="C73:M73"/>
    <mergeCell ref="C74:M74"/>
    <mergeCell ref="C88:M88"/>
    <mergeCell ref="C89:M89"/>
    <mergeCell ref="C90:M90"/>
    <mergeCell ref="C83:M83"/>
    <mergeCell ref="C84:M84"/>
    <mergeCell ref="C85:M85"/>
    <mergeCell ref="C86:M86"/>
    <mergeCell ref="C87:M87"/>
    <mergeCell ref="C79:M79"/>
    <mergeCell ref="C80:M80"/>
    <mergeCell ref="C81:M81"/>
    <mergeCell ref="C82:M82"/>
    <mergeCell ref="C75:M75"/>
    <mergeCell ref="C76:M7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2012-11-02T14:22:25Z</cp:lastPrinted>
  <dcterms:created xsi:type="dcterms:W3CDTF">1997-12-04T19:04:30Z</dcterms:created>
  <dcterms:modified xsi:type="dcterms:W3CDTF">2012-11-21T14:52:27Z</dcterms:modified>
</cp:coreProperties>
</file>