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C118" i="2" s="1"/>
  <c r="L220" i="1"/>
  <c r="L238" i="1"/>
  <c r="F12" i="13"/>
  <c r="G12" i="13"/>
  <c r="L204" i="1"/>
  <c r="C18" i="10" s="1"/>
  <c r="L222" i="1"/>
  <c r="L240" i="1"/>
  <c r="F14" i="13"/>
  <c r="G14" i="13"/>
  <c r="L206" i="1"/>
  <c r="C20" i="10" s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G31" i="13" s="1"/>
  <c r="K308" i="1"/>
  <c r="K327" i="1"/>
  <c r="L275" i="1"/>
  <c r="L276" i="1"/>
  <c r="L277" i="1"/>
  <c r="L278" i="1"/>
  <c r="L280" i="1"/>
  <c r="L281" i="1"/>
  <c r="E118" i="2" s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2" i="10"/>
  <c r="C13" i="10"/>
  <c r="C15" i="10"/>
  <c r="C17" i="10"/>
  <c r="C19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L246" i="1"/>
  <c r="F660" i="1"/>
  <c r="G660" i="1"/>
  <c r="H660" i="1"/>
  <c r="F661" i="1"/>
  <c r="G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L269" i="1" s="1"/>
  <c r="J269" i="1"/>
  <c r="I269" i="1"/>
  <c r="H269" i="1"/>
  <c r="G269" i="1"/>
  <c r="F269" i="1"/>
  <c r="C131" i="2"/>
  <c r="C130" i="2"/>
  <c r="A1" i="2"/>
  <c r="A2" i="2"/>
  <c r="C8" i="2"/>
  <c r="C18" i="2" s="1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E109" i="2"/>
  <c r="E114" i="2" s="1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9" i="2"/>
  <c r="E119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F407" i="1" s="1"/>
  <c r="H642" i="1" s="1"/>
  <c r="G400" i="1"/>
  <c r="H400" i="1"/>
  <c r="I400" i="1"/>
  <c r="F406" i="1"/>
  <c r="G406" i="1"/>
  <c r="H406" i="1"/>
  <c r="I406" i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638" i="1" s="1"/>
  <c r="G445" i="1"/>
  <c r="H445" i="1"/>
  <c r="I445" i="1"/>
  <c r="F451" i="1"/>
  <c r="G451" i="1"/>
  <c r="H451" i="1"/>
  <c r="I451" i="1"/>
  <c r="F459" i="1"/>
  <c r="G459" i="1"/>
  <c r="H459" i="1"/>
  <c r="I459" i="1"/>
  <c r="I460" i="1" s="1"/>
  <c r="H641" i="1" s="1"/>
  <c r="F460" i="1"/>
  <c r="H638" i="1" s="1"/>
  <c r="G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2" i="1"/>
  <c r="G623" i="1"/>
  <c r="G624" i="1"/>
  <c r="H626" i="1"/>
  <c r="H627" i="1"/>
  <c r="H628" i="1"/>
  <c r="H629" i="1"/>
  <c r="H630" i="1"/>
  <c r="H631" i="1"/>
  <c r="H632" i="1"/>
  <c r="G633" i="1"/>
  <c r="G634" i="1"/>
  <c r="H634" i="1"/>
  <c r="J634" i="1" s="1"/>
  <c r="H635" i="1"/>
  <c r="H636" i="1"/>
  <c r="H637" i="1"/>
  <c r="G639" i="1"/>
  <c r="H639" i="1"/>
  <c r="G640" i="1"/>
  <c r="H640" i="1"/>
  <c r="G641" i="1"/>
  <c r="G642" i="1"/>
  <c r="G643" i="1"/>
  <c r="H643" i="1"/>
  <c r="G644" i="1"/>
  <c r="H646" i="1"/>
  <c r="G648" i="1"/>
  <c r="G649" i="1"/>
  <c r="H649" i="1"/>
  <c r="J649" i="1" s="1"/>
  <c r="G650" i="1"/>
  <c r="G651" i="1"/>
  <c r="J651" i="1" s="1"/>
  <c r="H651" i="1"/>
  <c r="G652" i="1"/>
  <c r="H652" i="1"/>
  <c r="J652" i="1" s="1"/>
  <c r="G653" i="1"/>
  <c r="H653" i="1"/>
  <c r="J653" i="1" s="1"/>
  <c r="H654" i="1"/>
  <c r="J351" i="1"/>
  <c r="F191" i="1"/>
  <c r="L255" i="1"/>
  <c r="K256" i="1"/>
  <c r="I256" i="1"/>
  <c r="I270" i="1" s="1"/>
  <c r="G163" i="2"/>
  <c r="G159" i="2"/>
  <c r="F31" i="2"/>
  <c r="C26" i="10"/>
  <c r="L327" i="1"/>
  <c r="H659" i="1" s="1"/>
  <c r="H663" i="1" s="1"/>
  <c r="L350" i="1"/>
  <c r="I661" i="1"/>
  <c r="A31" i="12"/>
  <c r="C69" i="2"/>
  <c r="G161" i="2"/>
  <c r="D61" i="2"/>
  <c r="D62" i="2" s="1"/>
  <c r="E49" i="2"/>
  <c r="D18" i="13"/>
  <c r="C18" i="13" s="1"/>
  <c r="D15" i="13"/>
  <c r="C15" i="13" s="1"/>
  <c r="D7" i="13"/>
  <c r="C7" i="13" s="1"/>
  <c r="F102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A40" i="12" l="1"/>
  <c r="D18" i="2"/>
  <c r="J616" i="1"/>
  <c r="J641" i="1"/>
  <c r="C16" i="10"/>
  <c r="L289" i="1"/>
  <c r="C11" i="10"/>
  <c r="G621" i="1"/>
  <c r="K270" i="1"/>
  <c r="C122" i="2"/>
  <c r="C120" i="2"/>
  <c r="C127" i="2" s="1"/>
  <c r="D12" i="13"/>
  <c r="C12" i="13" s="1"/>
  <c r="G33" i="13"/>
  <c r="C109" i="2"/>
  <c r="C114" i="2" s="1"/>
  <c r="L210" i="1"/>
  <c r="L256" i="1" s="1"/>
  <c r="L270" i="1" s="1"/>
  <c r="G631" i="1" s="1"/>
  <c r="J631" i="1" s="1"/>
  <c r="A22" i="12"/>
  <c r="E90" i="2"/>
  <c r="F139" i="1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G475" i="1"/>
  <c r="H622" i="1" s="1"/>
  <c r="J622" i="1" s="1"/>
  <c r="G337" i="1"/>
  <c r="G351" i="1" s="1"/>
  <c r="D144" i="2"/>
  <c r="C23" i="10"/>
  <c r="F168" i="1"/>
  <c r="F192" i="1" s="1"/>
  <c r="G626" i="1" s="1"/>
  <c r="J626" i="1" s="1"/>
  <c r="J139" i="1"/>
  <c r="D103" i="2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H666" i="1"/>
  <c r="H671" i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L570" i="1" s="1"/>
  <c r="G544" i="1"/>
  <c r="L544" i="1"/>
  <c r="H544" i="1"/>
  <c r="K550" i="1"/>
  <c r="K551" i="1" s="1"/>
  <c r="F143" i="2"/>
  <c r="F144" i="2" s="1"/>
  <c r="J621" i="1" l="1"/>
  <c r="C28" i="10"/>
  <c r="C30" i="10" s="1"/>
  <c r="F659" i="1"/>
  <c r="F663" i="1" s="1"/>
  <c r="F671" i="1" s="1"/>
  <c r="C4" i="10" s="1"/>
  <c r="H647" i="1"/>
  <c r="J647" i="1" s="1"/>
  <c r="C38" i="10"/>
  <c r="C41" i="10" s="1"/>
  <c r="D39" i="10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D10" i="10" l="1"/>
  <c r="D17" i="10"/>
  <c r="D19" i="10"/>
  <c r="D27" i="10"/>
  <c r="D26" i="10"/>
  <c r="D12" i="10"/>
  <c r="D22" i="10"/>
  <c r="D13" i="10"/>
  <c r="D25" i="10"/>
  <c r="D21" i="10"/>
  <c r="D16" i="10"/>
  <c r="D15" i="10"/>
  <c r="D24" i="10"/>
  <c r="D20" i="10"/>
  <c r="D18" i="10"/>
  <c r="D11" i="10"/>
  <c r="D23" i="10"/>
  <c r="F666" i="1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28" i="10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<sst xmlns="http://schemas.openxmlformats.org/spreadsheetml/2006/main" count="3943" uniqueCount="910">
  <si>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</si>
  <si>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</si>
  <si>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</si>
  <si>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</si>
  <si>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</si>
  <si>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</si>
  <si>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</si>
  <si>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</si>
  <si>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</si>
  <si>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</si>
  <si>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</si>
  <si>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</si>
  <si>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</si>
  <si>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</si>
  <si>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</si>
  <si>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</si>
  <si>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</si>
  <si>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</si>
  <si>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</si>
  <si>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</si>
  <si>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</si>
  <si>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</si>
  <si>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</si>
  <si>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</si>
  <si>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</si>
  <si>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</si>
  <si>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</si>
  <si>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</si>
  <si>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</si>
  <si>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</si>
  <si>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</si>
  <si>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</si>
  <si>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</si>
  <si>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</si>
  <si>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</si>
  <si>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</si>
  <si>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</si>
  <si>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</si>
  <si>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</si>
  <si>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</si>
  <si>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</si>
  <si>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</si>
  <si>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</si>
  <si>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</si>
  <si>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</si>
  <si>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</si>
  <si>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</si>
  <si>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</si>
  <si>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</si>
  <si>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</si>
  <si>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</si>
  <si>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</si>
  <si>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</si>
  <si>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</si>
  <si>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</si>
  <si>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</si>
  <si>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</si>
  <si>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</si>
  <si>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</si>
  <si>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</si>
  <si>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</si>
  <si>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</si>
  <si>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</si>
  <si>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</si>
  <si>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</si>
  <si>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</si>
  <si>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</si>
  <si>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</si>
  <si>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</si>
  <si>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</si>
  <si>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</si>
  <si>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</si>
  <si>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</si>
  <si>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</si>
  <si>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</si>
  <si>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</si>
  <si>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</si>
  <si>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</si>
  <si>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</si>
  <si>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</si>
  <si>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</si>
  <si>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</si>
  <si>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</si>
  <si>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</si>
  <si>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</si>
  <si>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</si>
  <si>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</si>
  <si>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</si>
  <si>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</si>
  <si>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</si>
  <si>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</si>
  <si>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</si>
  <si>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</si>
  <si>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</si>
  <si>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</si>
  <si>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</si>
  <si>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</si>
  <si>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</si>
  <si>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</si>
  <si>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</si>
  <si>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</si>
  <si>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</si>
  <si>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</si>
  <si>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</si>
  <si>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</si>
  <si>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</si>
  <si>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</si>
  <si>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</si>
  <si>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</si>
  <si>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</si>
  <si>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</si>
  <si>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</si>
  <si>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</si>
  <si>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</si>
  <si>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</si>
  <si>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</si>
  <si>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</si>
  <si>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</si>
  <si>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</si>
  <si>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</si>
  <si>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</si>
  <si>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</si>
  <si>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</si>
  <si>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</si>
  <si>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</si>
  <si>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</si>
  <si>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</si>
  <si>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</si>
  <si>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</si>
  <si>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</si>
  <si>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</si>
  <si>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</si>
  <si>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</si>
  <si>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</si>
  <si>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</si>
  <si>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</si>
  <si>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</si>
  <si>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</si>
  <si>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</si>
  <si>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</si>
  <si>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</si>
  <si>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</si>
  <si>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</si>
  <si>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</si>
  <si>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</si>
  <si>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</si>
  <si>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</si>
  <si>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</si>
  <si>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</si>
  <si>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</si>
  <si>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</si>
  <si>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</si>
  <si>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</si>
  <si>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</si>
  <si>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</si>
  <si>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</si>
  <si>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</si>
  <si>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</si>
  <si>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</si>
  <si>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</si>
  <si>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</si>
  <si>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</si>
  <si>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</si>
  <si>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</si>
  <si>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</si>
  <si>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</si>
  <si>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</si>
  <si>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</si>
  <si>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</si>
  <si>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</si>
  <si>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</si>
  <si>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</si>
  <si>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</si>
  <si>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</si>
  <si>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</si>
  <si>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</si>
  <si>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</si>
  <si>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</si>
  <si>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</si>
  <si>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</si>
  <si>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</si>
  <si>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</si>
  <si>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</si>
  <si>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</si>
  <si>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</si>
  <si>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</si>
  <si>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</si>
  <si>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</si>
  <si>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</si>
  <si>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</si>
  <si>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</si>
  <si>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</si>
  <si>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</si>
  <si>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</si>
  <si>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</si>
  <si>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</si>
  <si>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</si>
  <si>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</si>
  <si>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</si>
  <si>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</si>
  <si>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</si>
  <si>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</si>
  <si>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</si>
  <si>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</si>
  <si>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</si>
  <si>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</si>
  <si>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</si>
  <si>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</si>
  <si>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</si>
  <si>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</si>
  <si>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</si>
  <si>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</si>
  <si>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</si>
  <si>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</si>
  <si>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</si>
  <si>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</si>
  <si>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</si>
  <si>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</si>
  <si>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</si>
  <si>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</si>
  <si>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</si>
  <si>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</si>
  <si>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</si>
  <si>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</si>
  <si>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</si>
  <si>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</si>
  <si>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</si>
  <si>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</si>
  <si>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</si>
  <si>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</si>
  <si>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</si>
  <si>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</si>
  <si>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</si>
  <si>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</si>
  <si>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</si>
  <si>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</si>
  <si>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</si>
  <si>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</si>
  <si>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</si>
  <si>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</si>
  <si>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</si>
  <si>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</si>
  <si>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</si>
  <si>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</si>
  <si>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</si>
  <si>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</si>
  <si>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</si>
  <si>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</si>
  <si>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</si>
  <si>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</si>
  <si>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</si>
  <si>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</si>
  <si>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</si>
  <si>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</si>
  <si>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</si>
  <si>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</si>
  <si>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</si>
  <si>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</si>
  <si>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</si>
  <si>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</si>
  <si>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</si>
  <si>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</si>
  <si>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</si>
  <si>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</si>
  <si>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</si>
  <si>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</si>
  <si>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</si>
  <si>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</si>
  <si>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</si>
  <si>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</si>
  <si>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</si>
  <si>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</si>
  <si>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</si>
  <si>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</si>
  <si>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</si>
  <si>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</si>
  <si>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</si>
  <si>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</si>
  <si>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</si>
  <si>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</si>
  <si>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</si>
  <si>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</si>
  <si>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</si>
  <si>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</si>
  <si>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</si>
  <si>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</si>
  <si>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</si>
  <si>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</si>
  <si>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</si>
  <si>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</si>
  <si>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</si>
  <si>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</si>
  <si>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</si>
  <si>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</si>
  <si>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</si>
  <si>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</si>
  <si>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</si>
  <si>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</si>
  <si>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</si>
  <si>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</si>
  <si>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</si>
  <si>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</si>
  <si>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</si>
  <si>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</si>
  <si>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</si>
  <si>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</si>
  <si>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</si>
  <si>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</si>
  <si>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</si>
  <si>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</si>
  <si>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</si>
  <si>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</si>
  <si>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</si>
  <si>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</si>
  <si>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</si>
  <si>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</si>
  <si>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</si>
  <si>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</si>
  <si>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</si>
  <si>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</si>
  <si>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</si>
  <si>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</si>
  <si>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</si>
  <si>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</si>
  <si>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</si>
  <si>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</si>
  <si>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</si>
  <si>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</si>
  <si>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</si>
  <si>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</si>
  <si>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</si>
  <si>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</si>
  <si>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</si>
  <si>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</si>
  <si>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</si>
  <si>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</si>
  <si>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</si>
  <si>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</si>
  <si>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</si>
  <si>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</si>
  <si>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</si>
  <si>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</si>
  <si>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</si>
  <si>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</si>
  <si>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</si>
  <si>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</si>
  <si>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</si>
  <si>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</si>
  <si>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</si>
  <si>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</si>
  <si>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</si>
  <si>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</si>
  <si>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</si>
  <si>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</si>
  <si>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</si>
  <si>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</si>
  <si>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</si>
  <si>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</si>
  <si>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</si>
  <si>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</si>
  <si>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</si>
  <si>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</si>
  <si>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</si>
  <si>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</si>
  <si>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</si>
  <si>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</si>
  <si>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</si>
  <si>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</si>
  <si>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</si>
  <si>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</si>
  <si>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</si>
  <si>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</si>
  <si>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</si>
  <si>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</si>
  <si>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</si>
  <si>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</si>
  <si>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</si>
  <si>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</si>
  <si>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</si>
  <si>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</si>
  <si>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</si>
  <si>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</si>
  <si>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</si>
  <si>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</si>
  <si>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</si>
  <si>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</si>
  <si>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</si>
  <si>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</si>
  <si>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</si>
  <si>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</si>
  <si>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</si>
  <si>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</si>
  <si>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</si>
  <si>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</si>
  <si>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</si>
  <si>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</si>
  <si>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</si>
  <si>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</si>
  <si>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</si>
  <si>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</si>
  <si>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</si>
  <si>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</si>
  <si>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</si>
  <si>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</si>
  <si>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</si>
  <si>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</si>
  <si>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</si>
  <si>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</si>
  <si>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</si>
  <si>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</si>
  <si>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</si>
  <si>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</si>
  <si>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</si>
  <si>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</si>
  <si>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</si>
  <si>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</si>
  <si>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</si>
  <si>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</si>
  <si>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</si>
  <si>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</si>
  <si>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</si>
  <si>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</si>
  <si>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</si>
  <si>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</si>
  <si>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</si>
  <si>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</si>
  <si>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</si>
  <si>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</si>
  <si>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</si>
  <si>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</si>
  <si>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</si>
  <si>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</si>
  <si>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</si>
  <si>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</si>
  <si>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</si>
  <si>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</si>
  <si>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</si>
  <si>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</si>
  <si>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</si>
  <si>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</si>
  <si>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</si>
  <si>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</si>
  <si>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</si>
  <si>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</si>
  <si>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</si>
  <si>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</si>
  <si>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</si>
  <si>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</si>
  <si>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</si>
  <si>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</si>
  <si>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</si>
  <si>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</si>
  <si>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</si>
  <si>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</si>
  <si>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</si>
  <si>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</si>
  <si>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</si>
  <si>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</si>
  <si>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</si>
  <si>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</si>
  <si>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</si>
  <si>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</si>
  <si>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</si>
  <si>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</si>
  <si>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</si>
  <si>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</si>
  <si>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</si>
  <si>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</si>
  <si>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</si>
  <si>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</si>
  <si>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</si>
  <si>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</si>
  <si>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</si>
  <si>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</si>
  <si>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</si>
  <si>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</si>
  <si>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</si>
  <si>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</si>
  <si>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</si>
  <si>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</si>
  <si>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</si>
  <si>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</si>
  <si>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</si>
  <si>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</si>
  <si>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</si>
  <si>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</si>
  <si>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</si>
  <si>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</si>
  <si>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</si>
  <si>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</si>
  <si>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</si>
  <si>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</si>
  <si>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</si>
  <si>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</si>
  <si>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</si>
  <si>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</si>
  <si>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</si>
  <si>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</si>
  <si>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</si>
  <si>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</si>
  <si>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</si>
  <si>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</si>
  <si>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</si>
  <si>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</si>
  <si>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</si>
  <si>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</si>
  <si>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</si>
  <si>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</si>
  <si>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</si>
  <si>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</si>
  <si>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</si>
  <si>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</si>
  <si>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</si>
  <si>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</si>
  <si>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</si>
  <si>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</si>
  <si>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</si>
  <si>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</si>
  <si>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</si>
  <si>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</si>
  <si>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</si>
  <si>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</si>
  <si>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</si>
  <si>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</si>
  <si>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</si>
  <si>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</si>
  <si>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</si>
  <si>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</si>
  <si>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</si>
  <si>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</si>
  <si>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</si>
  <si>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</si>
  <si>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</si>
  <si>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</si>
  <si>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</si>
  <si>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</si>
  <si>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</si>
  <si>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</si>
  <si>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</si>
  <si>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</si>
  <si>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</si>
  <si>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</si>
  <si>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</si>
  <si>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</si>
  <si>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</si>
  <si>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</si>
  <si>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</si>
  <si>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</si>
  <si>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</si>
  <si>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</si>
  <si>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</si>
  <si>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</si>
  <si>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</si>
  <si>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</si>
  <si>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</si>
  <si>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</si>
  <si>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</si>
  <si>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</si>
  <si>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</si>
  <si>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</si>
  <si>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</si>
  <si>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</si>
  <si>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</si>
  <si>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</si>
  <si>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</si>
  <si>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</si>
  <si>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</si>
  <si>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</si>
  <si>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</si>
  <si>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</si>
  <si>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</si>
  <si>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</si>
  <si>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</si>
  <si>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</si>
  <si>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</si>
  <si>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</si>
  <si>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</si>
  <si>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</si>
  <si>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</si>
  <si>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</si>
  <si>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</si>
  <si>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</si>
  <si>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</si>
  <si>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</si>
  <si>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</si>
  <si>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</si>
  <si>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</si>
  <si>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</si>
  <si>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</si>
  <si>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</si>
  <si>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</si>
  <si>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</si>
  <si>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</si>
  <si>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</si>
  <si>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</si>
  <si>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</si>
  <si>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</si>
  <si>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</si>
  <si>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</si>
  <si>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</si>
  <si>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</si>
  <si>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</si>
  <si>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</si>
  <si>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</si>
  <si>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</si>
  <si>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</si>
  <si>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</si>
  <si>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</si>
  <si>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</si>
  <si>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</si>
  <si>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</si>
  <si>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</si>
  <si>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</si>
  <si>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</si>
  <si>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</si>
  <si>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</si>
  <si>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</si>
  <si>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</si>
  <si>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</si>
  <si>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</si>
  <si>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</si>
  <si>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</si>
  <si>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</si>
  <si>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</si>
  <si>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</si>
  <si>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</si>
  <si>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</si>
  <si>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</si>
  <si>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</si>
  <si>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</si>
  <si>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</si>
  <si>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</si>
  <si>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</si>
  <si>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</si>
  <si>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</si>
  <si>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</si>
  <si>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</si>
  <si>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</si>
  <si>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</si>
  <si>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</si>
  <si>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</si>
  <si>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</si>
  <si>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</si>
  <si>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</si>
  <si>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</si>
  <si>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</si>
  <si>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</si>
  <si>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</si>
  <si>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</si>
  <si>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</si>
  <si>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</si>
  <si>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</si>
  <si>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</si>
  <si>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</si>
  <si>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</si>
  <si>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</si>
  <si>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</si>
  <si>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</si>
  <si>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</si>
  <si>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</si>
  <si>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</si>
  <si>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</si>
  <si>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</si>
  <si>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</si>
  <si>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</si>
  <si>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</si>
  <si>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</si>
  <si>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</si>
  <si>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</si>
  <si>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</si>
  <si>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</si>
  <si>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</si>
  <si>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</si>
  <si>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</si>
  <si>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</si>
  <si>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</si>
  <si>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</si>
  <si>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</si>
  <si>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</si>
  <si>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</si>
  <si>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</si>
  <si>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</si>
  <si>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</si>
  <si>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</si>
  <si>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</si>
  <si>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</si>
  <si>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</si>
  <si>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</si>
  <si>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</si>
  <si>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</si>
  <si>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</si>
  <si>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</si>
  <si>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</si>
  <si>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</si>
  <si>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</si>
  <si>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</si>
  <si>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</si>
  <si>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</si>
  <si>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</si>
  <si>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</si>
  <si>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</si>
  <si>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</si>
  <si>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</si>
  <si>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</si>
  <si>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</si>
  <si>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</si>
  <si>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</si>
  <si>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</si>
  <si>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</si>
  <si>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</si>
  <si>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</si>
  <si>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</si>
  <si>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</si>
  <si>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</si>
  <si>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</si>
  <si>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</si>
  <si>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</si>
  <si>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</si>
  <si>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</si>
  <si>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</si>
  <si>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</si>
  <si>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</si>
  <si>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</si>
  <si>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</si>
  <si>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</si>
  <si>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</si>
  <si>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</si>
  <si>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</si>
  <si>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</si>
  <si>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</si>
  <si>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</si>
  <si>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</si>
  <si>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</si>
  <si>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</si>
  <si>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</si>
  <si>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</si>
  <si>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</si>
  <si>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</si>
  <si>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</si>
  <si>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</si>
  <si>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</si>
  <si>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</si>
  <si>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</si>
  <si>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</si>
  <si>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</si>
  <si>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</si>
  <si>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</si>
  <si>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</si>
  <si>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</si>
  <si>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</si>
  <si>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</si>
  <si>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</si>
  <si>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</si>
  <si>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</si>
  <si>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</si>
  <si>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</si>
  <si>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</si>
  <si>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</si>
  <si>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</si>
  <si>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</si>
  <si>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</si>
  <si>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</si>
  <si>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</si>
  <si>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</si>
  <si>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</si>
  <si>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</si>
  <si>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</si>
  <si>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</si>
  <si>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</si>
  <si>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</si>
  <si>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</si>
  <si>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</si>
  <si>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</si>
  <si>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</si>
  <si>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</si>
  <si>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</si>
  <si>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</si>
  <si>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</si>
  <si>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</si>
  <si>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</si>
  <si>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</si>
  <si>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</si>
  <si>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</si>
  <si>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</si>
  <si>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</si>
  <si>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</si>
  <si>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</si>
  <si>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</si>
  <si>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</si>
  <si>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</si>
  <si>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</si>
  <si>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</si>
  <si>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</si>
  <si>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</si>
  <si>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</si>
  <si>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</si>
  <si>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</si>
  <si>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</si>
  <si>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</si>
  <si>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</si>
  <si>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</si>
  <si>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</si>
  <si>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</si>
  <si>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</si>
  <si>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</si>
  <si>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</si>
  <si>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</si>
  <si>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</si>
  <si>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</si>
  <si>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</si>
  <si>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</si>
  <si>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</si>
  <si>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</si>
  <si>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</si>
  <si>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</si>
  <si>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</si>
  <si>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</si>
  <si>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</si>
  <si>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</si>
  <si>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</si>
  <si>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</si>
  <si>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</si>
  <si>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</si>
  <si>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</si>
  <si>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</si>
  <si>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</si>
  <si>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</si>
  <si>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</si>
  <si>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</si>
  <si>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</si>
  <si>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</si>
  <si>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</si>
  <si>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</si>
  <si>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</si>
  <si>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</si>
  <si>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</si>
  <si>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</si>
  <si>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</si>
  <si>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</si>
  <si>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</si>
  <si>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</si>
  <si>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</si>
  <si>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</si>
  <si>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</si>
  <si>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</si>
  <si>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</si>
  <si>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</si>
  <si>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</si>
  <si>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</si>
  <si>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</si>
  <si>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</si>
  <si>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</si>
  <si>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</si>
  <si>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</si>
  <si>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</si>
  <si>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</si>
  <si>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</si>
  <si>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</si>
  <si>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</si>
  <si>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</si>
  <si>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</si>
  <si>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</si>
  <si>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</si>
  <si>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</si>
  <si>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</si>
  <si>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</si>
  <si>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</si>
  <si>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</si>
  <si>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</si>
  <si>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</si>
  <si>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</si>
  <si>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</si>
  <si>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</si>
  <si>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</si>
  <si>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</si>
  <si>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</si>
  <si>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</si>
  <si>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</si>
  <si>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</si>
  <si>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</si>
  <si>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</si>
  <si>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</si>
  <si>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</si>
  <si>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</si>
  <si>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</si>
  <si>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</si>
  <si>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</si>
  <si>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</si>
  <si>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</si>
  <si>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</si>
  <si>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</si>
  <si>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</si>
  <si>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</si>
  <si>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</si>
  <si>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</si>
  <si>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</si>
  <si>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</si>
  <si>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</si>
  <si>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</si>
  <si>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</si>
  <si>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</si>
  <si>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</si>
  <si>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</si>
  <si>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</si>
  <si>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</si>
  <si>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</si>
  <si>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</si>
  <si>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</si>
  <si>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</si>
  <si>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LAFAYETTE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</si>
</sst>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G664" sqref="G664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288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172937.98</v>
      </c>
      <c r="G9" s="18">
        <v>-9742.92</v>
      </c>
      <c r="H9" s="18">
        <v>-9848.09</v>
      </c>
      <c r="I9" s="18"/>
      <c r="J9" s="67">
        <f>SUM(I438)</f>
        <v>255321.65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1878.17</v>
      </c>
      <c r="H13" s="18">
        <v>11848.09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7864.75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172937.98</v>
      </c>
      <c r="G19" s="41">
        <f>SUM(G9:G18)</f>
        <v>0</v>
      </c>
      <c r="H19" s="41">
        <f>SUM(H9:H18)</f>
        <v>2000</v>
      </c>
      <c r="I19" s="41">
        <f>SUM(I9:I18)</f>
        <v>0</v>
      </c>
      <c r="J19" s="41">
        <f>SUM(J9:J18)</f>
        <v>255321.65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11818.64</v>
      </c>
      <c r="G25" s="145"/>
      <c r="H25" s="18">
        <v>2000</v>
      </c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11818.64</v>
      </c>
      <c r="G32" s="41">
        <f>SUM(G22:G31)</f>
        <v>0</v>
      </c>
      <c r="H32" s="41">
        <f>SUM(H22:H31)</f>
        <v>2000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105000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255321.65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56119.34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161119.34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255321.65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172937.97999999998</v>
      </c>
      <c r="G51" s="41">
        <f>G50+G32</f>
        <v>0</v>
      </c>
      <c r="H51" s="41">
        <f>H50+H32</f>
        <v>2000</v>
      </c>
      <c r="I51" s="41">
        <f>I50+I32</f>
        <v>0</v>
      </c>
      <c r="J51" s="41">
        <f>J50+J32</f>
        <v>255321.65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1589519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1589519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411.42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19093.45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14882.24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15293.66</v>
      </c>
      <c r="G110" s="41">
        <f>SUM(G95:G109)</f>
        <v>19093.45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1604812.66</v>
      </c>
      <c r="G111" s="41">
        <f>G59+G110</f>
        <v>19093.45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575092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575092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417.62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417.62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575092</v>
      </c>
      <c r="G139" s="41">
        <f>G120+SUM(G135:G136)</f>
        <v>417.62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>
        <v>12870.86</v>
      </c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12870.86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20229.39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25899.55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12328.1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26709.15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12328.1</v>
      </c>
      <c r="H161" s="41">
        <f>SUM(H149:H160)</f>
        <v>72838.09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28036.02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28036.02</v>
      </c>
      <c r="G168" s="41">
        <f>G146+G161+SUM(G162:G167)</f>
        <v>12328.1</v>
      </c>
      <c r="H168" s="41">
        <f>H146+H161+SUM(H162:H167)</f>
        <v>85708.95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7864.75</v>
      </c>
      <c r="H178" s="18"/>
      <c r="I178" s="18"/>
      <c r="J178" s="18">
        <v>20000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7864.75</v>
      </c>
      <c r="H182" s="41">
        <f>SUM(H178:H181)</f>
        <v>0</v>
      </c>
      <c r="I182" s="41">
        <f>SUM(I178:I181)</f>
        <v>0</v>
      </c>
      <c r="J182" s="41">
        <f>SUM(J178:J181)</f>
        <v>20000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7864.75</v>
      </c>
      <c r="H191" s="41">
        <f>+H182+SUM(H187:H190)</f>
        <v>0</v>
      </c>
      <c r="I191" s="41">
        <f>I176+I182+SUM(I187:I190)</f>
        <v>0</v>
      </c>
      <c r="J191" s="41">
        <f>J182</f>
        <v>20000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2207940.6800000002</v>
      </c>
      <c r="G192" s="47">
        <f>G111+G139+G168+G191</f>
        <v>39703.919999999998</v>
      </c>
      <c r="H192" s="47">
        <f>H111+H139+H168+H191</f>
        <v>85708.95</v>
      </c>
      <c r="I192" s="47">
        <f>I111+I139+I168+I191</f>
        <v>0</v>
      </c>
      <c r="J192" s="47">
        <f>J111+J139+J191</f>
        <v>20000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637859.85</v>
      </c>
      <c r="G196" s="18">
        <v>277043.40999999997</v>
      </c>
      <c r="H196" s="18">
        <v>18957.2</v>
      </c>
      <c r="I196" s="18">
        <v>11301.99</v>
      </c>
      <c r="J196" s="18">
        <v>1436.12</v>
      </c>
      <c r="K196" s="18"/>
      <c r="L196" s="19">
        <f>SUM(F196:K196)</f>
        <v>946598.57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169028.59</v>
      </c>
      <c r="G197" s="18">
        <v>94786.28</v>
      </c>
      <c r="H197" s="18"/>
      <c r="I197" s="18">
        <v>482.8</v>
      </c>
      <c r="J197" s="18">
        <v>373.37</v>
      </c>
      <c r="K197" s="18"/>
      <c r="L197" s="19">
        <f>SUM(F197:K197)</f>
        <v>264671.03999999998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3640</v>
      </c>
      <c r="G199" s="18">
        <v>218.54</v>
      </c>
      <c r="H199" s="18"/>
      <c r="I199" s="18"/>
      <c r="J199" s="18"/>
      <c r="K199" s="18">
        <v>1460.69</v>
      </c>
      <c r="L199" s="19">
        <f>SUM(F199:K199)</f>
        <v>5319.23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73142.820000000007</v>
      </c>
      <c r="G201" s="18">
        <v>18218.060000000001</v>
      </c>
      <c r="H201" s="18">
        <v>75712.22</v>
      </c>
      <c r="I201" s="18">
        <v>731.37</v>
      </c>
      <c r="J201" s="18">
        <v>293.12</v>
      </c>
      <c r="K201" s="18">
        <v>80.3</v>
      </c>
      <c r="L201" s="19">
        <f t="shared" ref="L201:L207" si="0">SUM(F201:K201)</f>
        <v>168177.88999999998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>
        <v>4463.8500000000004</v>
      </c>
      <c r="J202" s="18">
        <v>73</v>
      </c>
      <c r="K202" s="18">
        <v>10763.58</v>
      </c>
      <c r="L202" s="19">
        <f t="shared" si="0"/>
        <v>15300.43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1625</v>
      </c>
      <c r="G203" s="18">
        <v>198.67</v>
      </c>
      <c r="H203" s="18">
        <v>148658.75</v>
      </c>
      <c r="I203" s="18"/>
      <c r="J203" s="18"/>
      <c r="K203" s="18">
        <v>3514.75</v>
      </c>
      <c r="L203" s="19">
        <f t="shared" si="0"/>
        <v>153997.17000000001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120065</v>
      </c>
      <c r="G204" s="18">
        <v>47710.06</v>
      </c>
      <c r="H204" s="18">
        <v>16671.78</v>
      </c>
      <c r="I204" s="18">
        <v>9856.52</v>
      </c>
      <c r="J204" s="18">
        <v>401.96</v>
      </c>
      <c r="K204" s="18"/>
      <c r="L204" s="19">
        <f t="shared" si="0"/>
        <v>194705.31999999998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61887.86</v>
      </c>
      <c r="G206" s="18">
        <v>27676.48</v>
      </c>
      <c r="H206" s="18">
        <v>38723.769999999997</v>
      </c>
      <c r="I206" s="18">
        <v>77722.990000000005</v>
      </c>
      <c r="J206" s="18"/>
      <c r="K206" s="18"/>
      <c r="L206" s="19">
        <f t="shared" si="0"/>
        <v>206011.09999999998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124825.26</v>
      </c>
      <c r="I207" s="18"/>
      <c r="J207" s="18"/>
      <c r="K207" s="18"/>
      <c r="L207" s="19">
        <f t="shared" si="0"/>
        <v>124825.26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1067249.1200000001</v>
      </c>
      <c r="G210" s="41">
        <f t="shared" si="1"/>
        <v>465851.49999999988</v>
      </c>
      <c r="H210" s="41">
        <f t="shared" si="1"/>
        <v>423548.98</v>
      </c>
      <c r="I210" s="41">
        <f t="shared" si="1"/>
        <v>104559.52</v>
      </c>
      <c r="J210" s="41">
        <f t="shared" si="1"/>
        <v>2577.5699999999997</v>
      </c>
      <c r="K210" s="41">
        <f t="shared" si="1"/>
        <v>15819.32</v>
      </c>
      <c r="L210" s="41">
        <f t="shared" si="1"/>
        <v>2079606.0099999995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1067249.1200000001</v>
      </c>
      <c r="G256" s="41">
        <f t="shared" si="8"/>
        <v>465851.49999999988</v>
      </c>
      <c r="H256" s="41">
        <f t="shared" si="8"/>
        <v>423548.98</v>
      </c>
      <c r="I256" s="41">
        <f t="shared" si="8"/>
        <v>104559.52</v>
      </c>
      <c r="J256" s="41">
        <f t="shared" si="8"/>
        <v>2577.5699999999997</v>
      </c>
      <c r="K256" s="41">
        <f t="shared" si="8"/>
        <v>15819.32</v>
      </c>
      <c r="L256" s="41">
        <f t="shared" si="8"/>
        <v>2079606.0099999995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7864.75</v>
      </c>
      <c r="L262" s="19">
        <f>SUM(F262:K262)</f>
        <v>7864.75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20000</v>
      </c>
      <c r="L265" s="19">
        <f t="shared" si="9"/>
        <v>20000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27864.75</v>
      </c>
      <c r="L269" s="41">
        <f t="shared" si="9"/>
        <v>27864.75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1067249.1200000001</v>
      </c>
      <c r="G270" s="42">
        <f t="shared" si="11"/>
        <v>465851.49999999988</v>
      </c>
      <c r="H270" s="42">
        <f t="shared" si="11"/>
        <v>423548.98</v>
      </c>
      <c r="I270" s="42">
        <f t="shared" si="11"/>
        <v>104559.52</v>
      </c>
      <c r="J270" s="42">
        <f t="shared" si="11"/>
        <v>2577.5699999999997</v>
      </c>
      <c r="K270" s="42">
        <f t="shared" si="11"/>
        <v>43684.07</v>
      </c>
      <c r="L270" s="42">
        <f t="shared" si="11"/>
        <v>2107470.7599999998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12870.86</v>
      </c>
      <c r="G275" s="18"/>
      <c r="H275" s="18"/>
      <c r="I275" s="18"/>
      <c r="J275" s="18"/>
      <c r="K275" s="18"/>
      <c r="L275" s="19">
        <f>SUM(F275:K275)</f>
        <v>12870.86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41654.879999999997</v>
      </c>
      <c r="G276" s="18">
        <v>1767</v>
      </c>
      <c r="H276" s="18">
        <v>416.5</v>
      </c>
      <c r="I276" s="18">
        <v>687.05</v>
      </c>
      <c r="J276" s="18">
        <v>10686.22</v>
      </c>
      <c r="K276" s="18"/>
      <c r="L276" s="19">
        <f>SUM(F276:K276)</f>
        <v>55211.65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1771.55</v>
      </c>
      <c r="G280" s="18">
        <v>287.27</v>
      </c>
      <c r="H280" s="18"/>
      <c r="I280" s="18"/>
      <c r="J280" s="18"/>
      <c r="K280" s="18"/>
      <c r="L280" s="19">
        <f t="shared" ref="L280:L286" si="12">SUM(F280:K280)</f>
        <v>2058.8199999999997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1333.31</v>
      </c>
      <c r="G281" s="18">
        <v>190.12</v>
      </c>
      <c r="H281" s="18">
        <v>2318</v>
      </c>
      <c r="I281" s="18">
        <v>5433.48</v>
      </c>
      <c r="J281" s="18"/>
      <c r="K281" s="18">
        <v>1530</v>
      </c>
      <c r="L281" s="19">
        <f t="shared" si="12"/>
        <v>10804.91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4762.71</v>
      </c>
      <c r="L282" s="19">
        <f t="shared" si="12"/>
        <v>4762.71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57630.6</v>
      </c>
      <c r="G289" s="42">
        <f t="shared" si="13"/>
        <v>2244.39</v>
      </c>
      <c r="H289" s="42">
        <f t="shared" si="13"/>
        <v>2734.5</v>
      </c>
      <c r="I289" s="42">
        <f t="shared" si="13"/>
        <v>6120.53</v>
      </c>
      <c r="J289" s="42">
        <f t="shared" si="13"/>
        <v>10686.22</v>
      </c>
      <c r="K289" s="42">
        <f t="shared" si="13"/>
        <v>6292.71</v>
      </c>
      <c r="L289" s="41">
        <f t="shared" si="13"/>
        <v>85708.950000000026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57630.6</v>
      </c>
      <c r="G337" s="41">
        <f t="shared" si="20"/>
        <v>2244.39</v>
      </c>
      <c r="H337" s="41">
        <f t="shared" si="20"/>
        <v>2734.5</v>
      </c>
      <c r="I337" s="41">
        <f t="shared" si="20"/>
        <v>6120.53</v>
      </c>
      <c r="J337" s="41">
        <f t="shared" si="20"/>
        <v>10686.22</v>
      </c>
      <c r="K337" s="41">
        <f t="shared" si="20"/>
        <v>6292.71</v>
      </c>
      <c r="L337" s="41">
        <f t="shared" si="20"/>
        <v>85708.950000000026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57630.6</v>
      </c>
      <c r="G351" s="41">
        <f>G337</f>
        <v>2244.39</v>
      </c>
      <c r="H351" s="41">
        <f>H337</f>
        <v>2734.5</v>
      </c>
      <c r="I351" s="41">
        <f>I337</f>
        <v>6120.53</v>
      </c>
      <c r="J351" s="41">
        <f>J337</f>
        <v>10686.22</v>
      </c>
      <c r="K351" s="47">
        <f>K337+K350</f>
        <v>6292.71</v>
      </c>
      <c r="L351" s="41">
        <f>L337+L350</f>
        <v>85708.950000000026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22595.24</v>
      </c>
      <c r="G357" s="18">
        <v>3778.46</v>
      </c>
      <c r="H357" s="18">
        <v>1517.75</v>
      </c>
      <c r="I357" s="18">
        <v>11568.31</v>
      </c>
      <c r="J357" s="18">
        <v>244.16</v>
      </c>
      <c r="K357" s="18"/>
      <c r="L357" s="13">
        <f>SUM(F357:K357)</f>
        <v>39703.920000000006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22595.24</v>
      </c>
      <c r="G361" s="47">
        <f t="shared" si="22"/>
        <v>3778.46</v>
      </c>
      <c r="H361" s="47">
        <f t="shared" si="22"/>
        <v>1517.75</v>
      </c>
      <c r="I361" s="47">
        <f t="shared" si="22"/>
        <v>11568.31</v>
      </c>
      <c r="J361" s="47">
        <f t="shared" si="22"/>
        <v>244.16</v>
      </c>
      <c r="K361" s="47">
        <f t="shared" si="22"/>
        <v>0</v>
      </c>
      <c r="L361" s="47">
        <f t="shared" si="22"/>
        <v>39703.920000000006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9791.01</v>
      </c>
      <c r="G366" s="18"/>
      <c r="H366" s="18"/>
      <c r="I366" s="56">
        <f>SUM(F366:H366)</f>
        <v>9791.01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1777.3</v>
      </c>
      <c r="G367" s="63"/>
      <c r="H367" s="63"/>
      <c r="I367" s="56">
        <f>SUM(F367:H367)</f>
        <v>1777.3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11568.31</v>
      </c>
      <c r="G368" s="47">
        <f>SUM(G366:G367)</f>
        <v>0</v>
      </c>
      <c r="H368" s="47">
        <f>SUM(H366:H367)</f>
        <v>0</v>
      </c>
      <c r="I368" s="47">
        <f>SUM(I366:I367)</f>
        <v>11568.31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10000</v>
      </c>
      <c r="H395" s="18"/>
      <c r="I395" s="18"/>
      <c r="J395" s="24" t="s">
        <v>289</v>
      </c>
      <c r="K395" s="24" t="s">
        <v>289</v>
      </c>
      <c r="L395" s="56">
        <f t="shared" si="26"/>
        <v>10000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10000</v>
      </c>
      <c r="H397" s="18"/>
      <c r="I397" s="18"/>
      <c r="J397" s="24" t="s">
        <v>289</v>
      </c>
      <c r="K397" s="24" t="s">
        <v>289</v>
      </c>
      <c r="L397" s="56">
        <f t="shared" si="26"/>
        <v>10000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20000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20000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20000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20000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255321.65</v>
      </c>
      <c r="G438" s="18"/>
      <c r="H438" s="18"/>
      <c r="I438" s="56">
        <f t="shared" ref="I438:I444" si="33">SUM(F438:H438)</f>
        <v>255321.65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255321.65</v>
      </c>
      <c r="G445" s="13">
        <f>SUM(G438:G444)</f>
        <v>0</v>
      </c>
      <c r="H445" s="13">
        <f>SUM(H438:H444)</f>
        <v>0</v>
      </c>
      <c r="I445" s="13">
        <f>SUM(I438:I444)</f>
        <v>255321.65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255321.65</v>
      </c>
      <c r="G458" s="18"/>
      <c r="H458" s="18"/>
      <c r="I458" s="56">
        <f t="shared" si="34"/>
        <v>255321.65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255321.65</v>
      </c>
      <c r="G459" s="83">
        <f>SUM(G453:G458)</f>
        <v>0</v>
      </c>
      <c r="H459" s="83">
        <f>SUM(H453:H458)</f>
        <v>0</v>
      </c>
      <c r="I459" s="83">
        <f>SUM(I453:I458)</f>
        <v>255321.65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255321.65</v>
      </c>
      <c r="G460" s="42">
        <f>G451+G459</f>
        <v>0</v>
      </c>
      <c r="H460" s="42">
        <f>H451+H459</f>
        <v>0</v>
      </c>
      <c r="I460" s="42">
        <f>I451+I459</f>
        <v>255321.65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60649.42</v>
      </c>
      <c r="G464" s="18">
        <v>0</v>
      </c>
      <c r="H464" s="18">
        <v>0</v>
      </c>
      <c r="I464" s="18"/>
      <c r="J464" s="18">
        <v>235321.65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2207940.6800000002</v>
      </c>
      <c r="G467" s="18">
        <v>39703.919999999998</v>
      </c>
      <c r="H467" s="18">
        <v>85708.95</v>
      </c>
      <c r="I467" s="18"/>
      <c r="J467" s="18">
        <v>20000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2207940.6800000002</v>
      </c>
      <c r="G469" s="53">
        <f>SUM(G467:G468)</f>
        <v>39703.919999999998</v>
      </c>
      <c r="H469" s="53">
        <f>SUM(H467:H468)</f>
        <v>85708.95</v>
      </c>
      <c r="I469" s="53">
        <f>SUM(I467:I468)</f>
        <v>0</v>
      </c>
      <c r="J469" s="53">
        <f>SUM(J467:J468)</f>
        <v>20000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2107470.7599999998</v>
      </c>
      <c r="G471" s="18">
        <v>39703.919999999998</v>
      </c>
      <c r="H471" s="18">
        <v>85708.95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2107470.7599999998</v>
      </c>
      <c r="G473" s="53">
        <f>SUM(G471:G472)</f>
        <v>39703.919999999998</v>
      </c>
      <c r="H473" s="53">
        <f>SUM(H471:H472)</f>
        <v>85708.95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161119.34000000032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255321.65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35000</v>
      </c>
      <c r="G511" s="24" t="s">
        <v>289</v>
      </c>
      <c r="H511" s="18">
        <v>11765</v>
      </c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2941335</v>
      </c>
      <c r="G512" s="24" t="s">
        <v>289</v>
      </c>
      <c r="H512" s="18">
        <v>1268305.0900000001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95723.08</v>
      </c>
      <c r="G513" s="24" t="s">
        <v>289</v>
      </c>
      <c r="H513" s="18">
        <v>68896.39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>
        <v>1723091.6</v>
      </c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3072058.08</v>
      </c>
      <c r="G516" s="42">
        <f>SUM(G510:G515)</f>
        <v>0</v>
      </c>
      <c r="H516" s="42">
        <f>SUM(H510:H515)</f>
        <v>1348966.48</v>
      </c>
      <c r="I516" s="42">
        <f>SUM(I510:I515)</f>
        <v>1723091.6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210683.47</v>
      </c>
      <c r="G520" s="18">
        <v>96553.279999999999</v>
      </c>
      <c r="H520" s="18">
        <v>416.5</v>
      </c>
      <c r="I520" s="18">
        <v>1169.8499999999999</v>
      </c>
      <c r="J520" s="18">
        <v>10686.22</v>
      </c>
      <c r="K520" s="18"/>
      <c r="L520" s="88">
        <f>SUM(F520:K520)</f>
        <v>319509.31999999995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210683.47</v>
      </c>
      <c r="G523" s="108">
        <f t="shared" ref="G523:L523" si="36">SUM(G520:G522)</f>
        <v>96553.279999999999</v>
      </c>
      <c r="H523" s="108">
        <f t="shared" si="36"/>
        <v>416.5</v>
      </c>
      <c r="I523" s="108">
        <f t="shared" si="36"/>
        <v>1169.8499999999999</v>
      </c>
      <c r="J523" s="108">
        <f t="shared" si="36"/>
        <v>10686.22</v>
      </c>
      <c r="K523" s="108">
        <f t="shared" si="36"/>
        <v>0</v>
      </c>
      <c r="L523" s="89">
        <f t="shared" si="36"/>
        <v>319509.31999999995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75304.27</v>
      </c>
      <c r="I525" s="18"/>
      <c r="J525" s="18"/>
      <c r="K525" s="18"/>
      <c r="L525" s="88">
        <f>SUM(F525:K525)</f>
        <v>75304.27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75304.27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75304.27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0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210683.47</v>
      </c>
      <c r="G544" s="89">
        <f t="shared" ref="G544:L544" si="41">G523+G528+G533+G538+G543</f>
        <v>96553.279999999999</v>
      </c>
      <c r="H544" s="89">
        <f t="shared" si="41"/>
        <v>75720.77</v>
      </c>
      <c r="I544" s="89">
        <f t="shared" si="41"/>
        <v>1169.8499999999999</v>
      </c>
      <c r="J544" s="89">
        <f t="shared" si="41"/>
        <v>10686.22</v>
      </c>
      <c r="K544" s="89">
        <f t="shared" si="41"/>
        <v>0</v>
      </c>
      <c r="L544" s="89">
        <f t="shared" si="41"/>
        <v>394813.58999999997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319509.31999999995</v>
      </c>
      <c r="G548" s="87">
        <f>L525</f>
        <v>75304.27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394813.58999999997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319509.31999999995</v>
      </c>
      <c r="G551" s="89">
        <f t="shared" si="42"/>
        <v>75304.27</v>
      </c>
      <c r="H551" s="89">
        <f t="shared" si="42"/>
        <v>0</v>
      </c>
      <c r="I551" s="89">
        <f t="shared" si="42"/>
        <v>0</v>
      </c>
      <c r="J551" s="89">
        <f t="shared" si="42"/>
        <v>0</v>
      </c>
      <c r="K551" s="89">
        <f t="shared" si="42"/>
        <v>394813.58999999997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>
        <v>373.37</v>
      </c>
      <c r="K566" s="18"/>
      <c r="L566" s="88">
        <f>SUM(F566:K566)</f>
        <v>373.37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373.37</v>
      </c>
      <c r="K569" s="194">
        <f t="shared" si="45"/>
        <v>0</v>
      </c>
      <c r="L569" s="194">
        <f t="shared" si="45"/>
        <v>373.37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373.37</v>
      </c>
      <c r="K570" s="89">
        <f t="shared" si="46"/>
        <v>0</v>
      </c>
      <c r="L570" s="89">
        <f t="shared" si="46"/>
        <v>373.37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119370.26</v>
      </c>
      <c r="I590" s="18"/>
      <c r="J590" s="18"/>
      <c r="K590" s="104">
        <f t="shared" ref="K590:K596" si="48">SUM(H590:J590)</f>
        <v>119370.26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5455</v>
      </c>
      <c r="I594" s="18"/>
      <c r="J594" s="18"/>
      <c r="K594" s="104">
        <f t="shared" si="48"/>
        <v>5455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124825.26</v>
      </c>
      <c r="I597" s="108">
        <f>SUM(I590:I596)</f>
        <v>0</v>
      </c>
      <c r="J597" s="108">
        <f>SUM(J590:J596)</f>
        <v>0</v>
      </c>
      <c r="K597" s="108">
        <f>SUM(K590:K596)</f>
        <v>124825.26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13263.79</v>
      </c>
      <c r="I603" s="18"/>
      <c r="J603" s="18"/>
      <c r="K603" s="104">
        <f>SUM(H603:J603)</f>
        <v>13263.79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13263.79</v>
      </c>
      <c r="I604" s="108">
        <f>SUM(I601:I603)</f>
        <v>0</v>
      </c>
      <c r="J604" s="108">
        <f>SUM(J601:J603)</f>
        <v>0</v>
      </c>
      <c r="K604" s="108">
        <f>SUM(K601:K603)</f>
        <v>13263.79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172937.98</v>
      </c>
      <c r="H616" s="109">
        <f>SUM(F51)</f>
        <v>172937.97999999998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2000</v>
      </c>
      <c r="H618" s="109">
        <f>SUM(H51)</f>
        <v>2000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255321.65</v>
      </c>
      <c r="H620" s="109">
        <f>SUM(J51)</f>
        <v>255321.65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161119.34</v>
      </c>
      <c r="H621" s="109">
        <f>F475</f>
        <v>161119.34000000032</v>
      </c>
      <c r="I621" s="121" t="s">
        <v>101</v>
      </c>
      <c r="J621" s="109">
        <f t="shared" ref="J621:J654" si="50">G621-H621</f>
        <v>-3.2014213502407074E-10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255321.65</v>
      </c>
      <c r="H625" s="109">
        <f>J475</f>
        <v>255321.65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2207940.6800000002</v>
      </c>
      <c r="H626" s="104">
        <f>SUM(F467)</f>
        <v>2207940.6800000002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39703.919999999998</v>
      </c>
      <c r="H627" s="104">
        <f>SUM(G467)</f>
        <v>39703.919999999998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85708.95</v>
      </c>
      <c r="H628" s="104">
        <f>SUM(H467)</f>
        <v>85708.95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20000</v>
      </c>
      <c r="H630" s="104">
        <f>SUM(J467)</f>
        <v>20000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2107470.7599999998</v>
      </c>
      <c r="H631" s="104">
        <f>SUM(F471)</f>
        <v>2107470.7599999998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85708.950000000026</v>
      </c>
      <c r="H632" s="104">
        <f>SUM(H471)</f>
        <v>85708.95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11568.31</v>
      </c>
      <c r="H633" s="104">
        <f>I368</f>
        <v>11568.31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39703.920000000006</v>
      </c>
      <c r="H634" s="104">
        <f>SUM(G471)</f>
        <v>39703.919999999998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20000</v>
      </c>
      <c r="H636" s="164">
        <f>SUM(J467)</f>
        <v>20000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255321.65</v>
      </c>
      <c r="H638" s="104">
        <f>SUM(F460)</f>
        <v>255321.65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255321.65</v>
      </c>
      <c r="H641" s="104">
        <f>SUM(I460)</f>
        <v>255321.65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20000</v>
      </c>
      <c r="H644" s="104">
        <f>G407</f>
        <v>20000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20000</v>
      </c>
      <c r="H645" s="104">
        <f>L407</f>
        <v>20000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124825.26</v>
      </c>
      <c r="H646" s="104">
        <f>L207+L225+L243</f>
        <v>124825.26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13263.79</v>
      </c>
      <c r="H647" s="104">
        <f>(J256+J337)-(J254+J335)</f>
        <v>13263.789999999999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124825.26</v>
      </c>
      <c r="H648" s="104">
        <f>H597</f>
        <v>124825.26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7864.75</v>
      </c>
      <c r="H651" s="104">
        <f>K262+K344</f>
        <v>7864.75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20000</v>
      </c>
      <c r="H654" s="104">
        <f>K265+K346</f>
        <v>20000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2205018.8799999994</v>
      </c>
      <c r="G659" s="19">
        <f>(L228+L308+L358)</f>
        <v>0</v>
      </c>
      <c r="H659" s="19">
        <f>(L246+L327+L359)</f>
        <v>0</v>
      </c>
      <c r="I659" s="19">
        <f>SUM(F659:H659)</f>
        <v>2205018.8799999994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19093.45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19093.45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124825.26</v>
      </c>
      <c r="G661" s="19">
        <f>(L225+L305)-(J225+J305)</f>
        <v>0</v>
      </c>
      <c r="H661" s="19">
        <f>(L243+L324)-(J243+J324)</f>
        <v>0</v>
      </c>
      <c r="I661" s="19">
        <f>SUM(F661:H661)</f>
        <v>124825.26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13263.79</v>
      </c>
      <c r="G662" s="200">
        <f>SUM(G574:G586)+SUM(I601:I603)+L611</f>
        <v>0</v>
      </c>
      <c r="H662" s="200">
        <f>SUM(H574:H586)+SUM(J601:J603)+L612</f>
        <v>0</v>
      </c>
      <c r="I662" s="19">
        <f>SUM(F662:H662)</f>
        <v>13263.79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2047836.3799999994</v>
      </c>
      <c r="G663" s="19">
        <f>G659-SUM(G660:G662)</f>
        <v>0</v>
      </c>
      <c r="H663" s="19">
        <f>H659-SUM(H660:H662)</f>
        <v>0</v>
      </c>
      <c r="I663" s="19">
        <f>I659-SUM(I660:I662)</f>
        <v>2047836.3799999994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101.95</v>
      </c>
      <c r="G664" s="249"/>
      <c r="H664" s="249"/>
      <c r="I664" s="19">
        <f>SUM(F664:H664)</f>
        <v>101.95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20086.669999999998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20086.669999999998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20086.669999999998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20086.669999999998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0" sqref="B2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LAFAYETTE REGIONAL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650730.71</v>
      </c>
      <c r="C9" s="230">
        <f>'DOE25'!G196+'DOE25'!G214+'DOE25'!G232+'DOE25'!G275+'DOE25'!G294+'DOE25'!G313</f>
        <v>277043.40999999997</v>
      </c>
    </row>
    <row r="10" spans="1:3">
      <c r="A10" t="s">
        <v>779</v>
      </c>
      <c r="B10" s="241">
        <v>625871</v>
      </c>
      <c r="C10" s="241">
        <v>249214.71</v>
      </c>
    </row>
    <row r="11" spans="1:3">
      <c r="A11" t="s">
        <v>780</v>
      </c>
      <c r="B11" s="241">
        <v>14772.21</v>
      </c>
      <c r="C11" s="241">
        <v>27057</v>
      </c>
    </row>
    <row r="12" spans="1:3">
      <c r="A12" t="s">
        <v>781</v>
      </c>
      <c r="B12" s="241">
        <v>10087.5</v>
      </c>
      <c r="C12" s="241">
        <v>771.7</v>
      </c>
    </row>
    <row r="13" spans="1:3">
      <c r="A13" t="str">
        <f>IF(B9=B13,IF(C9=C13,"Check Total OK","Check Total Error"),"Check Total Error")</f>
        <v>Check Total OK</v>
      </c>
      <c r="B13" s="232">
        <f>SUM(B10:B12)</f>
        <v>650730.71</v>
      </c>
      <c r="C13" s="232">
        <f>SUM(C10:C12)</f>
        <v>277043.40999999997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210683.47</v>
      </c>
      <c r="C18" s="230">
        <f>'DOE25'!G197+'DOE25'!G215+'DOE25'!G233+'DOE25'!G276+'DOE25'!G295+'DOE25'!G314</f>
        <v>96553.279999999999</v>
      </c>
    </row>
    <row r="19" spans="1:3">
      <c r="A19" t="s">
        <v>779</v>
      </c>
      <c r="B19" s="241">
        <v>141028.29</v>
      </c>
      <c r="C19" s="241">
        <v>35257.08</v>
      </c>
    </row>
    <row r="20" spans="1:3">
      <c r="A20" t="s">
        <v>780</v>
      </c>
      <c r="B20" s="241">
        <v>69655.179999999993</v>
      </c>
      <c r="C20" s="241">
        <v>61296.2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210683.47</v>
      </c>
      <c r="C22" s="232">
        <f>SUM(C19:C21)</f>
        <v>96553.279999999999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3640</v>
      </c>
      <c r="C36" s="236">
        <f>'DOE25'!G199+'DOE25'!G217+'DOE25'!G235+'DOE25'!G278+'DOE25'!G297+'DOE25'!G316</f>
        <v>218.54</v>
      </c>
    </row>
    <row r="37" spans="1:3">
      <c r="A37" t="s">
        <v>779</v>
      </c>
      <c r="B37" s="241">
        <v>3640</v>
      </c>
      <c r="C37" s="241">
        <v>218.54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3640</v>
      </c>
      <c r="C40" s="232">
        <f>SUM(C37:C39)</f>
        <v>218.54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LAFAYETTE REGIONAL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1216588.8399999999</v>
      </c>
      <c r="D5" s="20">
        <f>SUM('DOE25'!L196:L199)+SUM('DOE25'!L214:L217)+SUM('DOE25'!L232:L235)-F5-G5</f>
        <v>1213318.6599999999</v>
      </c>
      <c r="E5" s="244"/>
      <c r="F5" s="256">
        <f>SUM('DOE25'!J196:J199)+SUM('DOE25'!J214:J217)+SUM('DOE25'!J232:J235)</f>
        <v>1809.4899999999998</v>
      </c>
      <c r="G5" s="53">
        <f>SUM('DOE25'!K196:K199)+SUM('DOE25'!K214:K217)+SUM('DOE25'!K232:K235)</f>
        <v>1460.69</v>
      </c>
      <c r="H5" s="260"/>
    </row>
    <row r="6" spans="1:9">
      <c r="A6" s="32">
        <v>2100</v>
      </c>
      <c r="B6" t="s">
        <v>801</v>
      </c>
      <c r="C6" s="246">
        <f t="shared" si="0"/>
        <v>168177.88999999998</v>
      </c>
      <c r="D6" s="20">
        <f>'DOE25'!L201+'DOE25'!L219+'DOE25'!L237-F6-G6</f>
        <v>167804.47</v>
      </c>
      <c r="E6" s="244"/>
      <c r="F6" s="256">
        <f>'DOE25'!J201+'DOE25'!J219+'DOE25'!J237</f>
        <v>293.12</v>
      </c>
      <c r="G6" s="53">
        <f>'DOE25'!K201+'DOE25'!K219+'DOE25'!K237</f>
        <v>80.3</v>
      </c>
      <c r="H6" s="260"/>
    </row>
    <row r="7" spans="1:9">
      <c r="A7" s="32">
        <v>2200</v>
      </c>
      <c r="B7" t="s">
        <v>834</v>
      </c>
      <c r="C7" s="246">
        <f t="shared" si="0"/>
        <v>15300.43</v>
      </c>
      <c r="D7" s="20">
        <f>'DOE25'!L202+'DOE25'!L220+'DOE25'!L238-F7-G7</f>
        <v>4463.8500000000004</v>
      </c>
      <c r="E7" s="244"/>
      <c r="F7" s="256">
        <f>'DOE25'!J202+'DOE25'!J220+'DOE25'!J238</f>
        <v>73</v>
      </c>
      <c r="G7" s="53">
        <f>'DOE25'!K202+'DOE25'!K220+'DOE25'!K238</f>
        <v>10763.58</v>
      </c>
      <c r="H7" s="260"/>
    </row>
    <row r="8" spans="1:9">
      <c r="A8" s="32">
        <v>2300</v>
      </c>
      <c r="B8" t="s">
        <v>802</v>
      </c>
      <c r="C8" s="246">
        <f t="shared" si="0"/>
        <v>97134.400000000023</v>
      </c>
      <c r="D8" s="244"/>
      <c r="E8" s="20">
        <f>'DOE25'!L203+'DOE25'!L221+'DOE25'!L239-F8-G8-D9-D11</f>
        <v>93619.650000000023</v>
      </c>
      <c r="F8" s="256">
        <f>'DOE25'!J203+'DOE25'!J221+'DOE25'!J239</f>
        <v>0</v>
      </c>
      <c r="G8" s="53">
        <f>'DOE25'!K203+'DOE25'!K221+'DOE25'!K239</f>
        <v>3514.75</v>
      </c>
      <c r="H8" s="260"/>
    </row>
    <row r="9" spans="1:9">
      <c r="A9" s="32">
        <v>2310</v>
      </c>
      <c r="B9" t="s">
        <v>818</v>
      </c>
      <c r="C9" s="246">
        <f t="shared" si="0"/>
        <v>32579.17</v>
      </c>
      <c r="D9" s="245">
        <v>32579.17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6075</v>
      </c>
      <c r="D10" s="244"/>
      <c r="E10" s="245">
        <v>6075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24283.599999999999</v>
      </c>
      <c r="D11" s="245">
        <v>24283.599999999999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194705.31999999998</v>
      </c>
      <c r="D12" s="20">
        <f>'DOE25'!L204+'DOE25'!L222+'DOE25'!L240-F12-G12</f>
        <v>194303.35999999999</v>
      </c>
      <c r="E12" s="244"/>
      <c r="F12" s="256">
        <f>'DOE25'!J204+'DOE25'!J222+'DOE25'!J240</f>
        <v>401.96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206011.09999999998</v>
      </c>
      <c r="D14" s="20">
        <f>'DOE25'!L206+'DOE25'!L224+'DOE25'!L242-F14-G14</f>
        <v>206011.09999999998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124825.26</v>
      </c>
      <c r="D15" s="20">
        <f>'DOE25'!L207+'DOE25'!L225+'DOE25'!L243-F15-G15</f>
        <v>124825.26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29912.910000000003</v>
      </c>
      <c r="D29" s="20">
        <f>'DOE25'!L357+'DOE25'!L358+'DOE25'!L359-'DOE25'!I366-F29-G29</f>
        <v>29668.750000000004</v>
      </c>
      <c r="E29" s="244"/>
      <c r="F29" s="256">
        <f>'DOE25'!J357+'DOE25'!J358+'DOE25'!J359</f>
        <v>244.16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85708.950000000026</v>
      </c>
      <c r="D31" s="20">
        <f>'DOE25'!L289+'DOE25'!L308+'DOE25'!L327+'DOE25'!L332+'DOE25'!L333+'DOE25'!L334-F31-G31</f>
        <v>68730.020000000019</v>
      </c>
      <c r="E31" s="244"/>
      <c r="F31" s="256">
        <f>'DOE25'!J289+'DOE25'!J308+'DOE25'!J327+'DOE25'!J332+'DOE25'!J333+'DOE25'!J334</f>
        <v>10686.22</v>
      </c>
      <c r="G31" s="53">
        <f>'DOE25'!K289+'DOE25'!K308+'DOE25'!K327+'DOE25'!K332+'DOE25'!K333+'DOE25'!K334</f>
        <v>6292.71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2065988.24</v>
      </c>
      <c r="E33" s="247">
        <f>SUM(E5:E31)</f>
        <v>99694.650000000023</v>
      </c>
      <c r="F33" s="247">
        <f>SUM(F5:F31)</f>
        <v>13507.949999999999</v>
      </c>
      <c r="G33" s="247">
        <f>SUM(G5:G31)</f>
        <v>22112.03</v>
      </c>
      <c r="H33" s="247">
        <f>SUM(H5:H31)</f>
        <v>0</v>
      </c>
    </row>
    <row r="35" spans="2:8" ht="12" thickBot="1">
      <c r="B35" s="254" t="s">
        <v>847</v>
      </c>
      <c r="D35" s="255">
        <f>E33</f>
        <v>99694.650000000023</v>
      </c>
      <c r="E35" s="250"/>
    </row>
    <row r="36" spans="2:8" ht="12" thickTop="1">
      <c r="B36" t="s">
        <v>815</v>
      </c>
      <c r="D36" s="20">
        <f>D33</f>
        <v>2065988.24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LAFAYETTE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172937.98</v>
      </c>
      <c r="D8" s="95">
        <f>'DOE25'!G9</f>
        <v>-9742.92</v>
      </c>
      <c r="E8" s="95">
        <f>'DOE25'!H9</f>
        <v>-9848.09</v>
      </c>
      <c r="F8" s="95">
        <f>'DOE25'!I9</f>
        <v>0</v>
      </c>
      <c r="G8" s="95">
        <f>'DOE25'!J9</f>
        <v>255321.65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1878.17</v>
      </c>
      <c r="E12" s="95">
        <f>'DOE25'!H13</f>
        <v>11848.09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7864.75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172937.98</v>
      </c>
      <c r="D18" s="41">
        <f>SUM(D8:D17)</f>
        <v>0</v>
      </c>
      <c r="E18" s="41">
        <f>SUM(E8:E17)</f>
        <v>2000</v>
      </c>
      <c r="F18" s="41">
        <f>SUM(F8:F17)</f>
        <v>0</v>
      </c>
      <c r="G18" s="41">
        <f>SUM(G8:G17)</f>
        <v>255321.65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11818.64</v>
      </c>
      <c r="D24" s="95">
        <f>'DOE25'!G25</f>
        <v>0</v>
      </c>
      <c r="E24" s="95">
        <f>'DOE25'!H25</f>
        <v>2000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11818.64</v>
      </c>
      <c r="D31" s="41">
        <f>SUM(D21:D30)</f>
        <v>0</v>
      </c>
      <c r="E31" s="41">
        <f>SUM(E21:E30)</f>
        <v>2000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105000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255321.65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56119.34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161119.34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255321.65</v>
      </c>
      <c r="H49" s="124"/>
      <c r="I49" s="124"/>
    </row>
    <row r="50" spans="1:9" ht="12" thickTop="1">
      <c r="A50" s="38" t="s">
        <v>895</v>
      </c>
      <c r="B50" s="2"/>
      <c r="C50" s="41">
        <f>C49+C31</f>
        <v>172937.97999999998</v>
      </c>
      <c r="D50" s="41">
        <f>D49+D31</f>
        <v>0</v>
      </c>
      <c r="E50" s="41">
        <f>E49+E31</f>
        <v>2000</v>
      </c>
      <c r="F50" s="41">
        <f>F49+F31</f>
        <v>0</v>
      </c>
      <c r="G50" s="41">
        <f>G49+G31</f>
        <v>255321.65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1589519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411.42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19093.45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14882.24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15293.66</v>
      </c>
      <c r="D61" s="130">
        <f>SUM(D56:D60)</f>
        <v>19093.45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1604812.66</v>
      </c>
      <c r="D62" s="22">
        <f>D55+D61</f>
        <v>19093.45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575092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575092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417.62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417.62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575092</v>
      </c>
      <c r="D80" s="130">
        <f>SUM(D78:D79)+D77+D69</f>
        <v>417.62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12870.86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12328.1</v>
      </c>
      <c r="E87" s="95">
        <f>SUM('DOE25'!H152:H160)</f>
        <v>72838.09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28036.02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28036.02</v>
      </c>
      <c r="D90" s="131">
        <f>SUM(D84:D89)</f>
        <v>12328.1</v>
      </c>
      <c r="E90" s="131">
        <f>SUM(E84:E89)</f>
        <v>85708.95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7864.75</v>
      </c>
      <c r="E95" s="95">
        <f>'DOE25'!H178</f>
        <v>0</v>
      </c>
      <c r="F95" s="95">
        <f>'DOE25'!I178</f>
        <v>0</v>
      </c>
      <c r="G95" s="95">
        <f>'DOE25'!J178</f>
        <v>20000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7864.75</v>
      </c>
      <c r="E102" s="86">
        <f>SUM(E92:E101)</f>
        <v>0</v>
      </c>
      <c r="F102" s="86">
        <f>SUM(F92:F101)</f>
        <v>0</v>
      </c>
      <c r="G102" s="86">
        <f>SUM(G92:G101)</f>
        <v>20000</v>
      </c>
    </row>
    <row r="103" spans="1:7" ht="12.75" thickTop="1" thickBot="1">
      <c r="A103" s="33" t="s">
        <v>765</v>
      </c>
      <c r="C103" s="86">
        <f>C62+C80+C90+C102</f>
        <v>2207940.6800000002</v>
      </c>
      <c r="D103" s="86">
        <f>D62+D80+D90+D102</f>
        <v>39703.919999999998</v>
      </c>
      <c r="E103" s="86">
        <f>E62+E80+E90+E102</f>
        <v>85708.95</v>
      </c>
      <c r="F103" s="86">
        <f>F62+F80+F90+F102</f>
        <v>0</v>
      </c>
      <c r="G103" s="86">
        <f>G62+G80+G102</f>
        <v>20000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946598.57</v>
      </c>
      <c r="D108" s="24" t="s">
        <v>289</v>
      </c>
      <c r="E108" s="95">
        <f>('DOE25'!L275)+('DOE25'!L294)+('DOE25'!L313)</f>
        <v>12870.86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264671.03999999998</v>
      </c>
      <c r="D109" s="24" t="s">
        <v>289</v>
      </c>
      <c r="E109" s="95">
        <f>('DOE25'!L276)+('DOE25'!L295)+('DOE25'!L314)</f>
        <v>55211.65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5319.23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1216588.8399999999</v>
      </c>
      <c r="D114" s="86">
        <f>SUM(D108:D113)</f>
        <v>0</v>
      </c>
      <c r="E114" s="86">
        <f>SUM(E108:E113)</f>
        <v>68082.510000000009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168177.88999999998</v>
      </c>
      <c r="D117" s="24" t="s">
        <v>289</v>
      </c>
      <c r="E117" s="95">
        <f>+('DOE25'!L280)+('DOE25'!L299)+('DOE25'!L318)</f>
        <v>2058.8199999999997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15300.43</v>
      </c>
      <c r="D118" s="24" t="s">
        <v>289</v>
      </c>
      <c r="E118" s="95">
        <f>+('DOE25'!L281)+('DOE25'!L300)+('DOE25'!L319)</f>
        <v>10804.91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153997.17000000001</v>
      </c>
      <c r="D119" s="24" t="s">
        <v>289</v>
      </c>
      <c r="E119" s="95">
        <f>+('DOE25'!L282)+('DOE25'!L301)+('DOE25'!L320)</f>
        <v>4762.71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194705.31999999998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206011.09999999998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124825.26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39703.920000000006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863017.16999999993</v>
      </c>
      <c r="D127" s="86">
        <f>SUM(D117:D126)</f>
        <v>39703.920000000006</v>
      </c>
      <c r="E127" s="86">
        <f>SUM(E117:E126)</f>
        <v>17626.439999999999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7864.75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20000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27864.75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2107470.7599999998</v>
      </c>
      <c r="D144" s="86">
        <f>(D114+D127+D143)</f>
        <v>39703.920000000006</v>
      </c>
      <c r="E144" s="86">
        <f>(E114+E127+E143)</f>
        <v>85708.950000000012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LAFAYETTE REGIONAL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20087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20087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959469</v>
      </c>
      <c r="D10" s="182">
        <f>ROUND((C10/$C$28)*100,1)</f>
        <v>43.9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319883</v>
      </c>
      <c r="D11" s="182">
        <f>ROUND((C11/$C$28)*100,1)</f>
        <v>14.6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5319</v>
      </c>
      <c r="D13" s="182">
        <f>ROUND((C13/$C$28)*100,1)</f>
        <v>0.2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170237</v>
      </c>
      <c r="D15" s="182">
        <f t="shared" ref="D15:D27" si="0">ROUND((C15/$C$28)*100,1)</f>
        <v>7.8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26105</v>
      </c>
      <c r="D16" s="182">
        <f t="shared" si="0"/>
        <v>1.2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158760</v>
      </c>
      <c r="D17" s="182">
        <f t="shared" si="0"/>
        <v>7.3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194705</v>
      </c>
      <c r="D18" s="182">
        <f t="shared" si="0"/>
        <v>8.9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206011</v>
      </c>
      <c r="D20" s="182">
        <f t="shared" si="0"/>
        <v>9.4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124825</v>
      </c>
      <c r="D21" s="182">
        <f t="shared" si="0"/>
        <v>5.7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20610.55</v>
      </c>
      <c r="D27" s="182">
        <f t="shared" si="0"/>
        <v>0.9</v>
      </c>
    </row>
    <row r="28" spans="1:4">
      <c r="B28" s="187" t="s">
        <v>723</v>
      </c>
      <c r="C28" s="180">
        <f>SUM(C10:C27)</f>
        <v>2185924.5499999998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2185924.5499999998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1589519</v>
      </c>
      <c r="D35" s="182">
        <f t="shared" ref="D35:D40" si="1">ROUND((C35/$C$41)*100,1)</f>
        <v>68.900000000000006</v>
      </c>
    </row>
    <row r="36" spans="1:4">
      <c r="B36" s="185" t="s">
        <v>743</v>
      </c>
      <c r="C36" s="179">
        <f>SUM('DOE25'!F111:J111)-SUM('DOE25'!G96:G109)+('DOE25'!F173+'DOE25'!F174+'DOE25'!I173+'DOE25'!I174)-C35</f>
        <v>15293.659999999916</v>
      </c>
      <c r="D36" s="182">
        <f t="shared" si="1"/>
        <v>0.7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575092</v>
      </c>
      <c r="D37" s="182">
        <f t="shared" si="1"/>
        <v>24.9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418</v>
      </c>
      <c r="D38" s="182">
        <f t="shared" si="1"/>
        <v>0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126073</v>
      </c>
      <c r="D39" s="182">
        <f t="shared" si="1"/>
        <v>5.5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2306395.66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>LAFAYETTE REGIONAL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2012-08-23T17:44:17Z</cp:lastPrinted>
  <dcterms:created xsi:type="dcterms:W3CDTF">1997-12-04T19:04:30Z</dcterms:created>
  <dcterms:modified xsi:type="dcterms:W3CDTF">2012-11-21T14:52:24Z</dcterms:modified>
</cp:coreProperties>
</file>