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7" i="1" l="1"/>
  <c r="B20" i="12" l="1"/>
  <c r="B19" i="12"/>
  <c r="B22" i="12" s="1"/>
  <c r="B21" i="12"/>
  <c r="C10" i="12"/>
  <c r="C13" i="12" s="1"/>
  <c r="B11" i="12"/>
  <c r="B10" i="12"/>
  <c r="B13" i="12" s="1"/>
  <c r="D9" i="13"/>
  <c r="F22" i="1"/>
  <c r="J603" i="1"/>
  <c r="I603" i="1"/>
  <c r="H603" i="1"/>
  <c r="I316" i="1"/>
  <c r="L316" i="1" s="1"/>
  <c r="J297" i="1"/>
  <c r="H232" i="1"/>
  <c r="H243" i="1"/>
  <c r="G243" i="1"/>
  <c r="F243" i="1"/>
  <c r="G232" i="1"/>
  <c r="F232" i="1"/>
  <c r="H225" i="1"/>
  <c r="H214" i="1"/>
  <c r="F207" i="1"/>
  <c r="G207" i="1"/>
  <c r="H207" i="1"/>
  <c r="H196" i="1"/>
  <c r="G196" i="1"/>
  <c r="F196" i="1"/>
  <c r="H235" i="1"/>
  <c r="G235" i="1"/>
  <c r="F235" i="1"/>
  <c r="F225" i="1"/>
  <c r="G225" i="1"/>
  <c r="H217" i="1"/>
  <c r="G217" i="1"/>
  <c r="C36" i="12" s="1"/>
  <c r="F217" i="1"/>
  <c r="H234" i="1"/>
  <c r="I243" i="1"/>
  <c r="I225" i="1"/>
  <c r="H197" i="1"/>
  <c r="I207" i="1"/>
  <c r="I233" i="1"/>
  <c r="H233" i="1"/>
  <c r="G233" i="1"/>
  <c r="F233" i="1"/>
  <c r="L233" i="1" s="1"/>
  <c r="I215" i="1"/>
  <c r="H215" i="1"/>
  <c r="G215" i="1"/>
  <c r="F215" i="1"/>
  <c r="I197" i="1"/>
  <c r="G197" i="1"/>
  <c r="F197" i="1"/>
  <c r="H154" i="1"/>
  <c r="E87" i="2" s="1"/>
  <c r="H156" i="1"/>
  <c r="H151" i="1"/>
  <c r="F62" i="1"/>
  <c r="H498" i="1"/>
  <c r="H501" i="1"/>
  <c r="G498" i="1"/>
  <c r="I501" i="1"/>
  <c r="L275" i="1"/>
  <c r="L276" i="1"/>
  <c r="L281" i="1"/>
  <c r="L286" i="1"/>
  <c r="L280" i="1"/>
  <c r="L294" i="1"/>
  <c r="L295" i="1"/>
  <c r="L297" i="1"/>
  <c r="L300" i="1"/>
  <c r="L302" i="1"/>
  <c r="L313" i="1"/>
  <c r="L314" i="1"/>
  <c r="L315" i="1"/>
  <c r="L319" i="1"/>
  <c r="L321" i="1"/>
  <c r="L323" i="1"/>
  <c r="L318" i="1"/>
  <c r="F336" i="1"/>
  <c r="G336" i="1"/>
  <c r="H336" i="1"/>
  <c r="I336" i="1"/>
  <c r="K336" i="1"/>
  <c r="L414" i="1"/>
  <c r="L422" i="1"/>
  <c r="L197" i="1"/>
  <c r="L196" i="1"/>
  <c r="L215" i="1"/>
  <c r="L217" i="1"/>
  <c r="L214" i="1"/>
  <c r="L243" i="1"/>
  <c r="L244" i="1"/>
  <c r="L234" i="1"/>
  <c r="L232" i="1"/>
  <c r="H255" i="1"/>
  <c r="J110" i="1"/>
  <c r="J182" i="1"/>
  <c r="J191" i="1" s="1"/>
  <c r="I176" i="1"/>
  <c r="H110" i="1"/>
  <c r="F78" i="1"/>
  <c r="C56" i="2" s="1"/>
  <c r="F110" i="1"/>
  <c r="F120" i="1"/>
  <c r="F135" i="1"/>
  <c r="F161" i="1"/>
  <c r="H379" i="1"/>
  <c r="J379" i="1"/>
  <c r="H377" i="1"/>
  <c r="I377" i="1"/>
  <c r="G377" i="1"/>
  <c r="G381" i="1" s="1"/>
  <c r="H375" i="1"/>
  <c r="H374" i="1"/>
  <c r="L374" i="1" s="1"/>
  <c r="K239" i="1"/>
  <c r="I239" i="1"/>
  <c r="H239" i="1"/>
  <c r="G239" i="1"/>
  <c r="F239" i="1"/>
  <c r="K221" i="1"/>
  <c r="I221" i="1"/>
  <c r="H221" i="1"/>
  <c r="G221" i="1"/>
  <c r="F221" i="1"/>
  <c r="K203" i="1"/>
  <c r="I203" i="1"/>
  <c r="H203" i="1"/>
  <c r="G203" i="1"/>
  <c r="F203" i="1"/>
  <c r="J239" i="1"/>
  <c r="J221" i="1"/>
  <c r="J203" i="1"/>
  <c r="J238" i="1"/>
  <c r="I238" i="1"/>
  <c r="H238" i="1"/>
  <c r="G238" i="1"/>
  <c r="F238" i="1"/>
  <c r="J220" i="1"/>
  <c r="I220" i="1"/>
  <c r="H220" i="1"/>
  <c r="G220" i="1"/>
  <c r="J202" i="1"/>
  <c r="I202" i="1"/>
  <c r="H202" i="1"/>
  <c r="G202" i="1"/>
  <c r="F220" i="1"/>
  <c r="F202" i="1"/>
  <c r="F201" i="1"/>
  <c r="G201" i="1"/>
  <c r="K237" i="1"/>
  <c r="I237" i="1"/>
  <c r="H237" i="1"/>
  <c r="I219" i="1"/>
  <c r="H219" i="1"/>
  <c r="I201" i="1"/>
  <c r="H201" i="1"/>
  <c r="G237" i="1"/>
  <c r="G219" i="1"/>
  <c r="F237" i="1"/>
  <c r="F219" i="1"/>
  <c r="K219" i="1"/>
  <c r="I235" i="1"/>
  <c r="H367" i="1"/>
  <c r="G367" i="1"/>
  <c r="F367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L239" i="1"/>
  <c r="D39" i="13"/>
  <c r="F13" i="13"/>
  <c r="G13" i="13"/>
  <c r="L205" i="1"/>
  <c r="L223" i="1"/>
  <c r="L241" i="1"/>
  <c r="F16" i="13"/>
  <c r="G16" i="13"/>
  <c r="L208" i="1"/>
  <c r="L226" i="1"/>
  <c r="C124" i="2" s="1"/>
  <c r="F5" i="13"/>
  <c r="G5" i="13"/>
  <c r="L198" i="1"/>
  <c r="L199" i="1"/>
  <c r="L216" i="1"/>
  <c r="F6" i="13"/>
  <c r="L237" i="1"/>
  <c r="G7" i="13"/>
  <c r="L220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7" i="1"/>
  <c r="L278" i="1"/>
  <c r="L282" i="1"/>
  <c r="L283" i="1"/>
  <c r="L284" i="1"/>
  <c r="L285" i="1"/>
  <c r="L287" i="1"/>
  <c r="L296" i="1"/>
  <c r="L299" i="1"/>
  <c r="E117" i="2" s="1"/>
  <c r="L301" i="1"/>
  <c r="L303" i="1"/>
  <c r="L304" i="1"/>
  <c r="L305" i="1"/>
  <c r="L306" i="1"/>
  <c r="L320" i="1"/>
  <c r="L322" i="1"/>
  <c r="L324" i="1"/>
  <c r="L325" i="1"/>
  <c r="L332" i="1"/>
  <c r="L333" i="1"/>
  <c r="L334" i="1"/>
  <c r="L259" i="1"/>
  <c r="L260" i="1"/>
  <c r="L340" i="1"/>
  <c r="L341" i="1"/>
  <c r="E131" i="2" s="1"/>
  <c r="L254" i="1"/>
  <c r="L335" i="1"/>
  <c r="C11" i="13"/>
  <c r="C10" i="13"/>
  <c r="C9" i="13"/>
  <c r="L360" i="1"/>
  <c r="B4" i="12"/>
  <c r="B36" i="12"/>
  <c r="B40" i="12"/>
  <c r="C40" i="12"/>
  <c r="B27" i="12"/>
  <c r="C27" i="12"/>
  <c r="B31" i="12"/>
  <c r="C31" i="12"/>
  <c r="B9" i="12"/>
  <c r="C9" i="12"/>
  <c r="B18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J111" i="1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G111" i="1" s="1"/>
  <c r="H59" i="1"/>
  <c r="E55" i="2" s="1"/>
  <c r="I59" i="1"/>
  <c r="I111" i="1" s="1"/>
  <c r="F93" i="1"/>
  <c r="C57" i="2" s="1"/>
  <c r="G110" i="1"/>
  <c r="H78" i="1"/>
  <c r="H93" i="1"/>
  <c r="I110" i="1"/>
  <c r="G120" i="1"/>
  <c r="G135" i="1"/>
  <c r="H120" i="1"/>
  <c r="H135" i="1"/>
  <c r="I120" i="1"/>
  <c r="I135" i="1"/>
  <c r="I139" i="1"/>
  <c r="J120" i="1"/>
  <c r="J135" i="1"/>
  <c r="F146" i="1"/>
  <c r="G146" i="1"/>
  <c r="D84" i="2" s="1"/>
  <c r="G161" i="1"/>
  <c r="G168" i="1"/>
  <c r="H146" i="1"/>
  <c r="I146" i="1"/>
  <c r="F84" i="2" s="1"/>
  <c r="I161" i="1"/>
  <c r="C10" i="10"/>
  <c r="C19" i="10"/>
  <c r="L249" i="1"/>
  <c r="L331" i="1"/>
  <c r="L253" i="1"/>
  <c r="L267" i="1"/>
  <c r="C141" i="2" s="1"/>
  <c r="L268" i="1"/>
  <c r="L348" i="1"/>
  <c r="L349" i="1"/>
  <c r="I664" i="1"/>
  <c r="I669" i="1"/>
  <c r="F660" i="1"/>
  <c r="H660" i="1"/>
  <c r="I668" i="1"/>
  <c r="C42" i="10"/>
  <c r="C32" i="10"/>
  <c r="L373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0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I456" i="1"/>
  <c r="J37" i="1"/>
  <c r="I458" i="1"/>
  <c r="J47" i="1"/>
  <c r="G46" i="2" s="1"/>
  <c r="C48" i="2"/>
  <c r="D55" i="2"/>
  <c r="F55" i="2"/>
  <c r="E56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E84" i="2"/>
  <c r="C86" i="2"/>
  <c r="F86" i="2"/>
  <c r="C87" i="2"/>
  <c r="D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09" i="2"/>
  <c r="E111" i="2"/>
  <c r="C112" i="2"/>
  <c r="E112" i="2"/>
  <c r="D114" i="2"/>
  <c r="F114" i="2"/>
  <c r="G114" i="2"/>
  <c r="E118" i="2"/>
  <c r="E119" i="2"/>
  <c r="C120" i="2"/>
  <c r="E120" i="2"/>
  <c r="E121" i="2"/>
  <c r="C122" i="2"/>
  <c r="E122" i="2"/>
  <c r="E123" i="2"/>
  <c r="E124" i="2"/>
  <c r="D126" i="2"/>
  <c r="D127" i="2"/>
  <c r="F127" i="2"/>
  <c r="G127" i="2"/>
  <c r="C129" i="2"/>
  <c r="E129" i="2"/>
  <c r="D133" i="2"/>
  <c r="D143" i="2" s="1"/>
  <c r="E133" i="2"/>
  <c r="F133" i="2"/>
  <c r="K418" i="1"/>
  <c r="K426" i="1"/>
  <c r="K432" i="1"/>
  <c r="K433" i="1" s="1"/>
  <c r="G133" i="2" s="1"/>
  <c r="G143" i="2" s="1"/>
  <c r="L262" i="1"/>
  <c r="C134" i="2"/>
  <c r="E134" i="2"/>
  <c r="L263" i="1"/>
  <c r="C135" i="2" s="1"/>
  <c r="L264" i="1"/>
  <c r="C136" i="2" s="1"/>
  <c r="E136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G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/>
  <c r="H618" i="1" s="1"/>
  <c r="I50" i="1"/>
  <c r="I51" i="1" s="1"/>
  <c r="H619" i="1" s="1"/>
  <c r="J619" i="1" s="1"/>
  <c r="F176" i="1"/>
  <c r="F182" i="1"/>
  <c r="G182" i="1"/>
  <c r="H182" i="1"/>
  <c r="I182" i="1"/>
  <c r="F187" i="1"/>
  <c r="G187" i="1"/>
  <c r="H187" i="1"/>
  <c r="I187" i="1"/>
  <c r="F210" i="1"/>
  <c r="H210" i="1"/>
  <c r="J210" i="1"/>
  <c r="K210" i="1"/>
  <c r="F228" i="1"/>
  <c r="H228" i="1"/>
  <c r="I228" i="1"/>
  <c r="J228" i="1"/>
  <c r="F246" i="1"/>
  <c r="H246" i="1"/>
  <c r="J246" i="1"/>
  <c r="F255" i="1"/>
  <c r="G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J336" i="1"/>
  <c r="K337" i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F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5" i="1"/>
  <c r="L416" i="1"/>
  <c r="L417" i="1"/>
  <c r="F418" i="1"/>
  <c r="G418" i="1"/>
  <c r="H418" i="1"/>
  <c r="I418" i="1"/>
  <c r="J418" i="1"/>
  <c r="L420" i="1"/>
  <c r="L421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F451" i="1"/>
  <c r="G451" i="1"/>
  <c r="H451" i="1"/>
  <c r="F459" i="1"/>
  <c r="G459" i="1"/>
  <c r="G460" i="1" s="1"/>
  <c r="H639" i="1" s="1"/>
  <c r="H459" i="1"/>
  <c r="F460" i="1"/>
  <c r="H460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F533" i="1"/>
  <c r="F528" i="1"/>
  <c r="F538" i="1"/>
  <c r="F543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G538" i="1"/>
  <c r="H538" i="1"/>
  <c r="I538" i="1"/>
  <c r="J538" i="1"/>
  <c r="K538" i="1"/>
  <c r="L538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G570" i="1" s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21" i="1"/>
  <c r="G622" i="1"/>
  <c r="G623" i="1"/>
  <c r="G624" i="1"/>
  <c r="G633" i="1"/>
  <c r="H633" i="1"/>
  <c r="G638" i="1"/>
  <c r="H638" i="1"/>
  <c r="G639" i="1"/>
  <c r="G640" i="1"/>
  <c r="H640" i="1"/>
  <c r="G642" i="1"/>
  <c r="H642" i="1"/>
  <c r="G643" i="1"/>
  <c r="H643" i="1"/>
  <c r="G644" i="1"/>
  <c r="H644" i="1"/>
  <c r="H649" i="1"/>
  <c r="G650" i="1"/>
  <c r="G651" i="1"/>
  <c r="H651" i="1"/>
  <c r="G652" i="1"/>
  <c r="H652" i="1"/>
  <c r="J652" i="1"/>
  <c r="G653" i="1"/>
  <c r="H653" i="1"/>
  <c r="J653" i="1" s="1"/>
  <c r="H654" i="1"/>
  <c r="F191" i="1"/>
  <c r="G159" i="2"/>
  <c r="C18" i="2"/>
  <c r="F31" i="2"/>
  <c r="C26" i="10"/>
  <c r="L350" i="1"/>
  <c r="A31" i="12"/>
  <c r="C69" i="2"/>
  <c r="A40" i="12"/>
  <c r="D12" i="13"/>
  <c r="C12" i="13" s="1"/>
  <c r="G161" i="2"/>
  <c r="D61" i="2"/>
  <c r="D62" i="2" s="1"/>
  <c r="E49" i="2"/>
  <c r="D18" i="13"/>
  <c r="C18" i="13"/>
  <c r="F102" i="2"/>
  <c r="D18" i="2"/>
  <c r="E18" i="2"/>
  <c r="D17" i="13"/>
  <c r="C17" i="13"/>
  <c r="G158" i="2"/>
  <c r="C90" i="2"/>
  <c r="F77" i="2"/>
  <c r="F80" i="2" s="1"/>
  <c r="F61" i="2"/>
  <c r="F62" i="2" s="1"/>
  <c r="D31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/>
  <c r="D14" i="13"/>
  <c r="C14" i="13"/>
  <c r="E13" i="13"/>
  <c r="C13" i="13"/>
  <c r="J616" i="1"/>
  <c r="E77" i="2"/>
  <c r="E80" i="2" s="1"/>
  <c r="J256" i="1"/>
  <c r="J640" i="1"/>
  <c r="J638" i="1"/>
  <c r="K604" i="1"/>
  <c r="G647" i="1" s="1"/>
  <c r="J570" i="1"/>
  <c r="K570" i="1"/>
  <c r="L432" i="1"/>
  <c r="D80" i="2"/>
  <c r="I168" i="1"/>
  <c r="J270" i="1"/>
  <c r="G551" i="1"/>
  <c r="E50" i="2"/>
  <c r="J643" i="1"/>
  <c r="J642" i="1"/>
  <c r="G337" i="1"/>
  <c r="G351" i="1"/>
  <c r="D144" i="2"/>
  <c r="C23" i="10"/>
  <c r="J139" i="1"/>
  <c r="F570" i="1"/>
  <c r="H256" i="1"/>
  <c r="H270" i="1"/>
  <c r="I551" i="1"/>
  <c r="K548" i="1"/>
  <c r="K549" i="1"/>
  <c r="G22" i="2"/>
  <c r="K597" i="1"/>
  <c r="G646" i="1"/>
  <c r="K544" i="1"/>
  <c r="J551" i="1"/>
  <c r="H551" i="1"/>
  <c r="C29" i="10"/>
  <c r="H139" i="1"/>
  <c r="L400" i="1"/>
  <c r="C138" i="2" s="1"/>
  <c r="L392" i="1"/>
  <c r="C137" i="2" s="1"/>
  <c r="A13" i="12"/>
  <c r="F22" i="13"/>
  <c r="C22" i="13" s="1"/>
  <c r="H25" i="13"/>
  <c r="J650" i="1"/>
  <c r="J639" i="1"/>
  <c r="J633" i="1"/>
  <c r="H570" i="1"/>
  <c r="L559" i="1"/>
  <c r="J544" i="1"/>
  <c r="H337" i="1"/>
  <c r="H351" i="1"/>
  <c r="F337" i="1"/>
  <c r="F351" i="1"/>
  <c r="G191" i="1"/>
  <c r="H191" i="1"/>
  <c r="E127" i="2"/>
  <c r="F551" i="1"/>
  <c r="C35" i="10"/>
  <c r="E16" i="13"/>
  <c r="C49" i="2"/>
  <c r="C50" i="2" s="1"/>
  <c r="J654" i="1"/>
  <c r="J644" i="1"/>
  <c r="L569" i="1"/>
  <c r="I570" i="1"/>
  <c r="I544" i="1"/>
  <c r="G36" i="2"/>
  <c r="L564" i="1"/>
  <c r="L570" i="1"/>
  <c r="G544" i="1"/>
  <c r="L544" i="1"/>
  <c r="H544" i="1"/>
  <c r="K550" i="1"/>
  <c r="C16" i="13"/>
  <c r="C25" i="13"/>
  <c r="H33" i="13"/>
  <c r="C140" i="2" l="1"/>
  <c r="K551" i="1"/>
  <c r="G163" i="2"/>
  <c r="I191" i="1"/>
  <c r="J617" i="1"/>
  <c r="A22" i="12"/>
  <c r="C80" i="2"/>
  <c r="C103" i="2" s="1"/>
  <c r="D103" i="2"/>
  <c r="J651" i="1"/>
  <c r="J433" i="1"/>
  <c r="F433" i="1"/>
  <c r="I433" i="1"/>
  <c r="G433" i="1"/>
  <c r="G139" i="1"/>
  <c r="G192" i="1" s="1"/>
  <c r="G467" i="1" s="1"/>
  <c r="G469" i="1" s="1"/>
  <c r="I662" i="1"/>
  <c r="G55" i="2"/>
  <c r="G62" i="2" s="1"/>
  <c r="G103" i="2" s="1"/>
  <c r="E110" i="2"/>
  <c r="I246" i="1"/>
  <c r="L219" i="1"/>
  <c r="G228" i="1"/>
  <c r="G6" i="13"/>
  <c r="G33" i="13" s="1"/>
  <c r="L201" i="1"/>
  <c r="L202" i="1"/>
  <c r="F7" i="13"/>
  <c r="F33" i="13" s="1"/>
  <c r="L238" i="1"/>
  <c r="L203" i="1"/>
  <c r="I210" i="1"/>
  <c r="I256" i="1" s="1"/>
  <c r="I270" i="1" s="1"/>
  <c r="L221" i="1"/>
  <c r="G8" i="13"/>
  <c r="F139" i="1"/>
  <c r="C38" i="10" s="1"/>
  <c r="C110" i="2"/>
  <c r="E108" i="2"/>
  <c r="F103" i="2"/>
  <c r="H627" i="1"/>
  <c r="L418" i="1"/>
  <c r="I471" i="1"/>
  <c r="G635" i="1"/>
  <c r="L255" i="1"/>
  <c r="J13" i="1"/>
  <c r="I445" i="1"/>
  <c r="G641" i="1" s="1"/>
  <c r="C121" i="2"/>
  <c r="L407" i="1"/>
  <c r="G627" i="1"/>
  <c r="J627" i="1" s="1"/>
  <c r="L426" i="1"/>
  <c r="L336" i="1"/>
  <c r="J337" i="1"/>
  <c r="F256" i="1"/>
  <c r="F270" i="1" s="1"/>
  <c r="G144" i="2"/>
  <c r="J43" i="1"/>
  <c r="I459" i="1"/>
  <c r="J22" i="1"/>
  <c r="I451" i="1"/>
  <c r="I460" i="1" s="1"/>
  <c r="H641" i="1" s="1"/>
  <c r="C25" i="10"/>
  <c r="C131" i="2"/>
  <c r="C143" i="2" s="1"/>
  <c r="C24" i="10"/>
  <c r="E113" i="2"/>
  <c r="E114" i="2" s="1"/>
  <c r="E144" i="2" s="1"/>
  <c r="L327" i="1"/>
  <c r="C117" i="2"/>
  <c r="C17" i="10"/>
  <c r="C119" i="2"/>
  <c r="F129" i="2"/>
  <c r="F143" i="2" s="1"/>
  <c r="F144" i="2" s="1"/>
  <c r="K246" i="1"/>
  <c r="G246" i="1"/>
  <c r="K228" i="1"/>
  <c r="K256" i="1" s="1"/>
  <c r="K270" i="1" s="1"/>
  <c r="G210" i="1"/>
  <c r="G256" i="1" s="1"/>
  <c r="G270" i="1" s="1"/>
  <c r="C12" i="10"/>
  <c r="F168" i="1"/>
  <c r="I192" i="1"/>
  <c r="L361" i="1"/>
  <c r="G660" i="1"/>
  <c r="I660" i="1" s="1"/>
  <c r="C113" i="2"/>
  <c r="C20" i="10"/>
  <c r="C18" i="10"/>
  <c r="F111" i="1"/>
  <c r="H111" i="1"/>
  <c r="C108" i="2"/>
  <c r="L289" i="1"/>
  <c r="H161" i="1"/>
  <c r="H168" i="1" s="1"/>
  <c r="E86" i="2"/>
  <c r="E90" i="2" s="1"/>
  <c r="E103" i="2" s="1"/>
  <c r="L225" i="1"/>
  <c r="L228" i="1" s="1"/>
  <c r="L235" i="1"/>
  <c r="D5" i="13" s="1"/>
  <c r="L207" i="1"/>
  <c r="L210" i="1" s="1"/>
  <c r="C16" i="10"/>
  <c r="C118" i="2"/>
  <c r="J192" i="1"/>
  <c r="H661" i="1"/>
  <c r="C11" i="10"/>
  <c r="C109" i="2"/>
  <c r="L308" i="1"/>
  <c r="D7" i="13" l="1"/>
  <c r="C7" i="13" s="1"/>
  <c r="G659" i="1"/>
  <c r="E8" i="13"/>
  <c r="C15" i="10"/>
  <c r="D6" i="13"/>
  <c r="C6" i="13" s="1"/>
  <c r="F659" i="1"/>
  <c r="C5" i="13"/>
  <c r="L337" i="1"/>
  <c r="L351" i="1" s="1"/>
  <c r="D31" i="13"/>
  <c r="C31" i="13" s="1"/>
  <c r="H192" i="1"/>
  <c r="G471" i="1"/>
  <c r="C27" i="10"/>
  <c r="G634" i="1"/>
  <c r="C39" i="10"/>
  <c r="G21" i="2"/>
  <c r="G31" i="2" s="1"/>
  <c r="J32" i="1"/>
  <c r="G42" i="2"/>
  <c r="G49" i="2" s="1"/>
  <c r="G50" i="2" s="1"/>
  <c r="J50" i="1"/>
  <c r="C111" i="2"/>
  <c r="J641" i="1"/>
  <c r="I473" i="1"/>
  <c r="H635" i="1"/>
  <c r="J467" i="1"/>
  <c r="G630" i="1"/>
  <c r="G645" i="1"/>
  <c r="F661" i="1"/>
  <c r="C21" i="10"/>
  <c r="C123" i="2"/>
  <c r="G648" i="1"/>
  <c r="J648" i="1" s="1"/>
  <c r="D15" i="13"/>
  <c r="C15" i="13" s="1"/>
  <c r="H646" i="1"/>
  <c r="J646" i="1" s="1"/>
  <c r="G649" i="1"/>
  <c r="J649" i="1" s="1"/>
  <c r="G661" i="1"/>
  <c r="G663" i="1" s="1"/>
  <c r="C114" i="2"/>
  <c r="L246" i="1"/>
  <c r="H659" i="1" s="1"/>
  <c r="H663" i="1" s="1"/>
  <c r="F192" i="1"/>
  <c r="C36" i="10"/>
  <c r="I467" i="1"/>
  <c r="G629" i="1"/>
  <c r="C127" i="2"/>
  <c r="J351" i="1"/>
  <c r="H647" i="1"/>
  <c r="J647" i="1" s="1"/>
  <c r="G636" i="1"/>
  <c r="H645" i="1"/>
  <c r="C13" i="10"/>
  <c r="C28" i="10" s="1"/>
  <c r="G12" i="2"/>
  <c r="G18" i="2" s="1"/>
  <c r="J19" i="1"/>
  <c r="G620" i="1" s="1"/>
  <c r="J635" i="1"/>
  <c r="L433" i="1"/>
  <c r="C8" i="13" l="1"/>
  <c r="E33" i="13"/>
  <c r="D35" i="13" s="1"/>
  <c r="C30" i="10"/>
  <c r="D19" i="10"/>
  <c r="D23" i="10"/>
  <c r="D22" i="10"/>
  <c r="D15" i="10"/>
  <c r="D26" i="10"/>
  <c r="D10" i="10"/>
  <c r="D17" i="10"/>
  <c r="D25" i="10"/>
  <c r="D11" i="10"/>
  <c r="D20" i="10"/>
  <c r="D16" i="10"/>
  <c r="D18" i="10"/>
  <c r="D24" i="10"/>
  <c r="D12" i="10"/>
  <c r="G666" i="1"/>
  <c r="G671" i="1"/>
  <c r="C5" i="10" s="1"/>
  <c r="J471" i="1"/>
  <c r="G637" i="1"/>
  <c r="I469" i="1"/>
  <c r="I475" i="1" s="1"/>
  <c r="H624" i="1" s="1"/>
  <c r="J624" i="1" s="1"/>
  <c r="H629" i="1"/>
  <c r="H671" i="1"/>
  <c r="C6" i="10" s="1"/>
  <c r="H666" i="1"/>
  <c r="D21" i="10"/>
  <c r="J645" i="1"/>
  <c r="H630" i="1"/>
  <c r="J469" i="1"/>
  <c r="H636" i="1"/>
  <c r="J636" i="1" s="1"/>
  <c r="D27" i="10"/>
  <c r="F663" i="1"/>
  <c r="I659" i="1"/>
  <c r="D13" i="10"/>
  <c r="C41" i="10"/>
  <c r="D39" i="10" s="1"/>
  <c r="J629" i="1"/>
  <c r="F467" i="1"/>
  <c r="G626" i="1"/>
  <c r="C144" i="2"/>
  <c r="I661" i="1"/>
  <c r="J630" i="1"/>
  <c r="G625" i="1"/>
  <c r="J51" i="1"/>
  <c r="H620" i="1" s="1"/>
  <c r="J620" i="1" s="1"/>
  <c r="G473" i="1"/>
  <c r="G475" i="1" s="1"/>
  <c r="H622" i="1" s="1"/>
  <c r="J622" i="1" s="1"/>
  <c r="H634" i="1"/>
  <c r="J634" i="1" s="1"/>
  <c r="H467" i="1"/>
  <c r="G628" i="1"/>
  <c r="H471" i="1"/>
  <c r="G632" i="1"/>
  <c r="D33" i="13"/>
  <c r="D36" i="13" s="1"/>
  <c r="L256" i="1"/>
  <c r="L270" i="1" s="1"/>
  <c r="D36" i="10" l="1"/>
  <c r="H626" i="1"/>
  <c r="F469" i="1"/>
  <c r="F671" i="1"/>
  <c r="C4" i="10" s="1"/>
  <c r="F666" i="1"/>
  <c r="J473" i="1"/>
  <c r="J475" i="1" s="1"/>
  <c r="H625" i="1" s="1"/>
  <c r="J625" i="1" s="1"/>
  <c r="H637" i="1"/>
  <c r="H473" i="1"/>
  <c r="H632" i="1"/>
  <c r="H628" i="1"/>
  <c r="J628" i="1" s="1"/>
  <c r="H469" i="1"/>
  <c r="F471" i="1"/>
  <c r="G631" i="1"/>
  <c r="J632" i="1"/>
  <c r="J626" i="1"/>
  <c r="D35" i="10"/>
  <c r="D40" i="10"/>
  <c r="D37" i="10"/>
  <c r="D38" i="10"/>
  <c r="I663" i="1"/>
  <c r="J637" i="1"/>
  <c r="D28" i="10"/>
  <c r="H475" i="1" l="1"/>
  <c r="H623" i="1" s="1"/>
  <c r="J623" i="1" s="1"/>
  <c r="I671" i="1"/>
  <c r="C7" i="10" s="1"/>
  <c r="I666" i="1"/>
  <c r="D41" i="10"/>
  <c r="F473" i="1"/>
  <c r="H631" i="1"/>
  <c r="J631" i="1" s="1"/>
  <c r="F475" i="1"/>
  <c r="H621" i="1" s="1"/>
  <c r="J621" i="1" s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<sst xmlns="http://schemas.openxmlformats.org/spreadsheetml/2006/main" count="3954" uniqueCount="919">
  <si>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</si>
  <si>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</si>
  <si>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</si>
  <si>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</si>
  <si>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</si>
  <si>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</si>
  <si>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</si>
  <si>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</si>
  <si>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</si>
  <si>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</si>
  <si>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</si>
  <si>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</si>
  <si>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</si>
  <si>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</si>
  <si>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</si>
  <si>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</si>
  <si>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</si>
  <si>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</si>
  <si>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</si>
  <si>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</si>
  <si>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</si>
  <si>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</si>
  <si>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</si>
  <si>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</si>
  <si>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</si>
  <si>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</si>
  <si>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</si>
  <si>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</si>
  <si>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</si>
  <si>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</si>
  <si>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</si>
  <si>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</si>
  <si>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</si>
  <si>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</si>
  <si>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</si>
  <si>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</si>
  <si>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</si>
  <si>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</si>
  <si>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</si>
  <si>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</si>
  <si>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</si>
  <si>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</si>
  <si>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</si>
  <si>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</si>
  <si>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</si>
  <si>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</si>
  <si>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</si>
  <si>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</si>
  <si>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</si>
  <si>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</si>
  <si>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</si>
  <si>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</si>
  <si>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</si>
  <si>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</si>
  <si>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</si>
  <si>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</si>
  <si>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</si>
  <si>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</si>
  <si>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</si>
  <si>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</si>
  <si>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</si>
  <si>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</si>
  <si>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</si>
  <si>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</si>
  <si>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</si>
  <si>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</si>
  <si>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</si>
  <si>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</si>
  <si>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</si>
  <si>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</si>
  <si>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</si>
  <si>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</si>
  <si>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</si>
  <si>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</si>
  <si>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</si>
  <si>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</si>
  <si>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</si>
  <si>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</si>
  <si>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</si>
  <si>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</si>
  <si>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</si>
  <si>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</si>
  <si>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</si>
  <si>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</si>
  <si>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</si>
  <si>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</si>
  <si>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</si>
  <si>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</si>
  <si>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</si>
  <si>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</si>
  <si>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</si>
  <si>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</si>
  <si>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</si>
  <si>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</si>
  <si>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</si>
  <si>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</si>
  <si>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</si>
  <si>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</si>
  <si>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</si>
  <si>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</si>
  <si>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</si>
  <si>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</si>
  <si>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</si>
  <si>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</si>
  <si>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</si>
  <si>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</si>
  <si>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</si>
  <si>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</si>
  <si>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</si>
  <si>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</si>
  <si>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</si>
  <si>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</si>
  <si>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</si>
  <si>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</si>
  <si>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</si>
  <si>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</si>
  <si>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</si>
  <si>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</si>
  <si>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</si>
  <si>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</si>
  <si>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</si>
  <si>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</si>
  <si>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</si>
  <si>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</si>
  <si>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</si>
  <si>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</si>
  <si>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</si>
  <si>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</si>
  <si>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</si>
  <si>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</si>
  <si>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</si>
  <si>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</si>
  <si>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</si>
  <si>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</si>
  <si>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</si>
  <si>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</si>
  <si>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</si>
  <si>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</si>
  <si>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</si>
  <si>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</si>
  <si>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</si>
  <si>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</si>
  <si>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</si>
  <si>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</si>
  <si>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</si>
  <si>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</si>
  <si>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</si>
  <si>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</si>
  <si>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</si>
  <si>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</si>
  <si>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</si>
  <si>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</si>
  <si>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</si>
  <si>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</si>
  <si>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</si>
  <si>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</si>
  <si>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</si>
  <si>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</si>
  <si>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</si>
  <si>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</si>
  <si>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</si>
  <si>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</si>
  <si>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</si>
  <si>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</si>
  <si>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</si>
  <si>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</si>
  <si>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</si>
  <si>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</si>
  <si>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</si>
  <si>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</si>
  <si>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</si>
  <si>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</si>
  <si>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</si>
  <si>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</si>
  <si>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</si>
  <si>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</si>
  <si>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</si>
  <si>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</si>
  <si>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</si>
  <si>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</si>
  <si>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</si>
  <si>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</si>
  <si>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</si>
  <si>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</si>
  <si>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</si>
  <si>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</si>
  <si>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</si>
  <si>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</si>
  <si>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</si>
  <si>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</si>
  <si>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</si>
  <si>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</si>
  <si>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</si>
  <si>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</si>
  <si>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</si>
  <si>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</si>
  <si>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</si>
  <si>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</si>
  <si>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</si>
  <si>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</si>
  <si>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</si>
  <si>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</si>
  <si>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</si>
  <si>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</si>
  <si>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</si>
  <si>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</si>
  <si>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</si>
  <si>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</si>
  <si>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</si>
  <si>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</si>
  <si>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</si>
  <si>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</si>
  <si>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</si>
  <si>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</si>
  <si>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</si>
  <si>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</si>
  <si>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</si>
  <si>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</si>
  <si>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</si>
  <si>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</si>
  <si>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</si>
  <si>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</si>
  <si>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</si>
  <si>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</si>
  <si>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</si>
  <si>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</si>
  <si>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</si>
  <si>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</si>
  <si>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</si>
  <si>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</si>
  <si>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</si>
  <si>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</si>
  <si>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</si>
  <si>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</si>
  <si>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</si>
  <si>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</si>
  <si>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</si>
  <si>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</si>
  <si>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</si>
  <si>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</si>
  <si>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</si>
  <si>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</si>
  <si>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</si>
  <si>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</si>
  <si>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</si>
  <si>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</si>
  <si>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</si>
  <si>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</si>
  <si>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</si>
  <si>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</si>
  <si>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</si>
  <si>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</si>
  <si>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</si>
  <si>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</si>
  <si>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</si>
  <si>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</si>
  <si>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</si>
  <si>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</si>
  <si>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</si>
  <si>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</si>
  <si>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</si>
  <si>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</si>
  <si>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</si>
  <si>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</si>
  <si>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</si>
  <si>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</si>
  <si>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</si>
  <si>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</si>
  <si>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</si>
  <si>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</si>
  <si>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</si>
  <si>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</si>
  <si>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</si>
  <si>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</si>
  <si>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</si>
  <si>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</si>
  <si>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</si>
  <si>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</si>
  <si>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</si>
  <si>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</si>
  <si>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</si>
  <si>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</si>
  <si>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</si>
  <si>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</si>
  <si>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</si>
  <si>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</si>
  <si>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</si>
  <si>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</si>
  <si>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</si>
  <si>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</si>
  <si>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</si>
  <si>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</si>
  <si>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</si>
  <si>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</si>
  <si>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</si>
  <si>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</si>
  <si>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</si>
  <si>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</si>
  <si>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</si>
  <si>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</si>
  <si>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</si>
  <si>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</si>
  <si>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</si>
  <si>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</si>
  <si>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</si>
  <si>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</si>
  <si>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</si>
  <si>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</si>
  <si>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</si>
  <si>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</si>
  <si>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</si>
  <si>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</si>
  <si>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</si>
  <si>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</si>
  <si>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</si>
  <si>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</si>
  <si>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</si>
  <si>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</si>
  <si>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</si>
  <si>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</si>
  <si>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</si>
  <si>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</si>
  <si>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</si>
  <si>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</si>
  <si>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</si>
  <si>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</si>
  <si>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</si>
  <si>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</si>
  <si>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</si>
  <si>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</si>
  <si>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</si>
  <si>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</si>
  <si>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</si>
  <si>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</si>
  <si>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</si>
  <si>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</si>
  <si>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</si>
  <si>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</si>
  <si>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</si>
  <si>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</si>
  <si>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</si>
  <si>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</si>
  <si>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</si>
  <si>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</si>
  <si>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</si>
  <si>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</si>
  <si>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</si>
  <si>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</si>
  <si>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</si>
  <si>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</si>
  <si>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</si>
  <si>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</si>
  <si>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</si>
  <si>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</si>
  <si>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</si>
  <si>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</si>
  <si>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</si>
  <si>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</si>
  <si>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</si>
  <si>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</si>
  <si>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</si>
  <si>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</si>
  <si>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</si>
  <si>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</si>
  <si>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</si>
  <si>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</si>
  <si>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</si>
  <si>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</si>
  <si>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</si>
  <si>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</si>
  <si>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</si>
  <si>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</si>
  <si>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</si>
  <si>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</si>
  <si>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</si>
  <si>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</si>
  <si>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</si>
  <si>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</si>
  <si>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</si>
  <si>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</si>
  <si>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</si>
  <si>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</si>
  <si>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</si>
  <si>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</si>
  <si>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</si>
  <si>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</si>
  <si>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</si>
  <si>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</si>
  <si>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</si>
  <si>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</si>
  <si>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</si>
  <si>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</si>
  <si>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</si>
  <si>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</si>
  <si>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</si>
  <si>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</si>
  <si>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</si>
  <si>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</si>
  <si>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</si>
  <si>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</si>
  <si>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</si>
  <si>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</si>
  <si>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</si>
  <si>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</si>
  <si>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</si>
  <si>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</si>
  <si>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</si>
  <si>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</si>
  <si>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</si>
  <si>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</si>
  <si>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</si>
  <si>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</si>
  <si>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</si>
  <si>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</si>
  <si>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</si>
  <si>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</si>
  <si>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</si>
  <si>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</si>
  <si>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</si>
  <si>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</si>
  <si>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</si>
  <si>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</si>
  <si>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</si>
  <si>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</si>
  <si>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</si>
  <si>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</si>
  <si>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</si>
  <si>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</si>
  <si>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</si>
  <si>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</si>
  <si>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</si>
  <si>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</si>
  <si>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</si>
  <si>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</si>
  <si>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</si>
  <si>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</si>
  <si>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</si>
  <si>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</si>
  <si>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</si>
  <si>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</si>
  <si>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</si>
  <si>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</si>
  <si>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</si>
  <si>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</si>
  <si>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</si>
  <si>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</si>
  <si>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</si>
  <si>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</si>
  <si>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</si>
  <si>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</si>
  <si>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</si>
  <si>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</si>
  <si>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</si>
  <si>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</si>
  <si>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</si>
  <si>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</si>
  <si>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</si>
  <si>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</si>
  <si>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</si>
  <si>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</si>
  <si>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</si>
  <si>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</si>
  <si>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</si>
  <si>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</si>
  <si>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</si>
  <si>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</si>
  <si>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</si>
  <si>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</si>
  <si>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</si>
  <si>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</si>
  <si>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</si>
  <si>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</si>
  <si>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</si>
  <si>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</si>
  <si>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</si>
  <si>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</si>
  <si>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</si>
  <si>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</si>
  <si>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</si>
  <si>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</si>
  <si>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</si>
  <si>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</si>
  <si>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</si>
  <si>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</si>
  <si>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</si>
  <si>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</si>
  <si>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</si>
  <si>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</si>
  <si>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</si>
  <si>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</si>
  <si>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</si>
  <si>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</si>
  <si>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</si>
  <si>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</si>
  <si>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</si>
  <si>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</si>
  <si>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</si>
  <si>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</si>
  <si>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</si>
  <si>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</si>
  <si>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</si>
  <si>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</si>
  <si>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</si>
  <si>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</si>
  <si>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</si>
  <si>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</si>
  <si>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</si>
  <si>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</si>
  <si>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</si>
  <si>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</si>
  <si>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</si>
  <si>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</si>
  <si>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</si>
  <si>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</si>
  <si>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</si>
  <si>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</si>
  <si>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</si>
  <si>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</si>
  <si>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</si>
  <si>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</si>
  <si>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</si>
  <si>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</si>
  <si>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</si>
  <si>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</si>
  <si>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</si>
  <si>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</si>
  <si>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</si>
  <si>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</si>
  <si>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</si>
  <si>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</si>
  <si>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</si>
  <si>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</si>
  <si>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</si>
  <si>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</si>
  <si>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</si>
  <si>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</si>
  <si>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</si>
  <si>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</si>
  <si>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</si>
  <si>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</si>
  <si>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</si>
  <si>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</si>
  <si>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</si>
  <si>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</si>
  <si>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</si>
  <si>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</si>
  <si>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</si>
  <si>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</si>
  <si>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</si>
  <si>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</si>
  <si>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</si>
  <si>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</si>
  <si>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</si>
  <si>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</si>
  <si>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</si>
  <si>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</si>
  <si>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</si>
  <si>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</si>
  <si>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</si>
  <si>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</si>
  <si>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</si>
  <si>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</si>
  <si>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</si>
  <si>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</si>
  <si>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</si>
  <si>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</si>
  <si>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</si>
  <si>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</si>
  <si>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</si>
  <si>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</si>
  <si>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</si>
  <si>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</si>
  <si>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</si>
  <si>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</si>
  <si>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</si>
  <si>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</si>
  <si>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</si>
  <si>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</si>
  <si>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</si>
  <si>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</si>
  <si>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</si>
  <si>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</si>
  <si>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</si>
  <si>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</si>
  <si>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</si>
  <si>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</si>
  <si>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</si>
  <si>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</si>
  <si>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</si>
  <si>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</si>
  <si>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</si>
  <si>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</si>
  <si>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</si>
  <si>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</si>
  <si>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</si>
  <si>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</si>
  <si>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</si>
  <si>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</si>
  <si>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</si>
  <si>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</si>
  <si>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</si>
  <si>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</si>
  <si>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</si>
  <si>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</si>
  <si>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</si>
  <si>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</si>
  <si>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</si>
  <si>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</si>
  <si>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</si>
  <si>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</si>
  <si>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</si>
  <si>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</si>
  <si>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</si>
  <si>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</si>
  <si>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</si>
  <si>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</si>
  <si>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</si>
  <si>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</si>
  <si>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</si>
  <si>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</si>
  <si>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</si>
  <si>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</si>
  <si>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</si>
  <si>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</si>
  <si>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</si>
  <si>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</si>
  <si>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</si>
  <si>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</si>
  <si>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</si>
  <si>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</si>
  <si>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</si>
  <si>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</si>
  <si>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</si>
  <si>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</si>
  <si>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</si>
  <si>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</si>
  <si>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</si>
  <si>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</si>
  <si>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</si>
  <si>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</si>
  <si>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</si>
  <si>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</si>
  <si>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</si>
  <si>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</si>
  <si>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</si>
  <si>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</si>
  <si>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</si>
  <si>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</si>
  <si>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</si>
  <si>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</si>
  <si>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</si>
  <si>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</si>
  <si>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</si>
  <si>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</si>
  <si>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</si>
  <si>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</si>
  <si>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</si>
  <si>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</si>
  <si>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</si>
  <si>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</si>
  <si>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</si>
  <si>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</si>
  <si>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</si>
  <si>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</si>
  <si>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</si>
  <si>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</si>
  <si>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</si>
  <si>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</si>
  <si>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</si>
  <si>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</si>
  <si>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</si>
  <si>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</si>
  <si>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</si>
  <si>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</si>
  <si>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</si>
  <si>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</si>
  <si>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</si>
  <si>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</si>
  <si>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</si>
  <si>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</si>
  <si>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</si>
  <si>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</si>
  <si>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</si>
  <si>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</si>
  <si>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</si>
  <si>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</si>
  <si>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</si>
  <si>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</si>
  <si>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</si>
  <si>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</si>
  <si>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</si>
  <si>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</si>
  <si>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</si>
  <si>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</si>
  <si>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</si>
  <si>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</si>
  <si>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</si>
  <si>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</si>
  <si>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</si>
  <si>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</si>
  <si>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</si>
  <si>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</si>
  <si>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</si>
  <si>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</si>
  <si>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</si>
  <si>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</si>
  <si>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</si>
  <si>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</si>
  <si>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</si>
  <si>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</si>
  <si>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</si>
  <si>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</si>
  <si>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</si>
  <si>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</si>
  <si>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</si>
  <si>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</si>
  <si>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</si>
  <si>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</si>
  <si>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</si>
  <si>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</si>
  <si>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</si>
  <si>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</si>
  <si>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</si>
  <si>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</si>
  <si>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</si>
  <si>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</si>
  <si>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</si>
  <si>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</si>
  <si>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</si>
  <si>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</si>
  <si>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</si>
  <si>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</si>
  <si>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</si>
  <si>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</si>
  <si>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</si>
  <si>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</si>
  <si>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</si>
  <si>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</si>
  <si>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</si>
  <si>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</si>
  <si>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</si>
  <si>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</si>
  <si>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</si>
  <si>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</si>
  <si>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</si>
  <si>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</si>
  <si>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</si>
  <si>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</si>
  <si>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</si>
  <si>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</si>
  <si>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</si>
  <si>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</si>
  <si>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</si>
  <si>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</si>
  <si>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</si>
  <si>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</si>
  <si>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</si>
  <si>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</si>
  <si>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</si>
  <si>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</si>
  <si>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</si>
  <si>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</si>
  <si>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</si>
  <si>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</si>
  <si>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</si>
  <si>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</si>
  <si>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</si>
  <si>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</si>
  <si>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</si>
  <si>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</si>
  <si>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</si>
  <si>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</si>
  <si>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</si>
  <si>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</si>
  <si>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</si>
  <si>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</si>
  <si>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</si>
  <si>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</si>
  <si>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</si>
  <si>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</si>
  <si>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</si>
  <si>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</si>
  <si>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</si>
  <si>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</si>
  <si>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</si>
  <si>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</si>
  <si>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</si>
  <si>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</si>
  <si>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</si>
  <si>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</si>
  <si>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</si>
  <si>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</si>
  <si>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</si>
  <si>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</si>
  <si>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</si>
  <si>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</si>
  <si>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</si>
  <si>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</si>
  <si>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</si>
  <si>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</si>
  <si>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</si>
  <si>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</si>
  <si>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</si>
  <si>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</si>
  <si>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</si>
  <si>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</si>
  <si>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</si>
  <si>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</si>
  <si>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</si>
  <si>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</si>
  <si>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</si>
  <si>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</si>
  <si>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</si>
  <si>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</si>
  <si>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</si>
  <si>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</si>
  <si>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</si>
  <si>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</si>
  <si>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</si>
  <si>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</si>
  <si>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</si>
  <si>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</si>
  <si>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</si>
  <si>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</si>
  <si>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</si>
  <si>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</si>
  <si>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</si>
  <si>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</si>
  <si>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</si>
  <si>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</si>
  <si>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</si>
  <si>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</si>
  <si>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</si>
  <si>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</si>
  <si>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</si>
  <si>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</si>
  <si>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</si>
  <si>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</si>
  <si>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</si>
  <si>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</si>
  <si>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</si>
  <si>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</si>
  <si>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</si>
  <si>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</si>
  <si>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</si>
  <si>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</si>
  <si>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</si>
  <si>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</si>
  <si>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</si>
  <si>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</si>
  <si>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</si>
  <si>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</si>
  <si>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</si>
  <si>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</si>
  <si>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</si>
  <si>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</si>
  <si>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</si>
  <si>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</si>
  <si>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</si>
  <si>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</si>
  <si>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</si>
  <si>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</si>
  <si>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</si>
  <si>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</si>
  <si>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</si>
  <si>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</si>
  <si>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</si>
  <si>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</si>
  <si>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</si>
  <si>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</si>
  <si>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</si>
  <si>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</si>
  <si>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</si>
  <si>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</si>
  <si>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</si>
  <si>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</si>
  <si>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</si>
  <si>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</si>
  <si>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</si>
  <si>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</si>
  <si>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</si>
  <si>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</si>
  <si>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</si>
  <si>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</si>
  <si>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</si>
  <si>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</si>
  <si>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</si>
  <si>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</si>
  <si>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</si>
  <si>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</si>
  <si>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</si>
  <si>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</si>
  <si>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</si>
  <si>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</si>
  <si>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</si>
  <si>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</si>
  <si>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</si>
  <si>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</si>
  <si>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</si>
  <si>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</si>
  <si>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</si>
  <si>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</si>
  <si>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</si>
  <si>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</si>
  <si>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</si>
  <si>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</si>
  <si>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</si>
  <si>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</si>
  <si>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</si>
  <si>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07/03</t>
  </si>
  <si>
    <t>12/07</t>
  </si>
  <si>
    <t>12/10</t>
  </si>
  <si>
    <t>07/12</t>
  </si>
  <si>
    <t>01/13</t>
  </si>
  <si>
    <t>01/16</t>
  </si>
  <si>
    <t>12/11</t>
  </si>
  <si>
    <t>01/32</t>
  </si>
  <si>
    <t>Various</t>
  </si>
  <si>
    <t>Lebanon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</si>
</sst>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918</v>
      </c>
      <c r="B2" s="21">
        <v>395</v>
      </c>
      <c r="C2" s="21">
        <v>295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991854.28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5759636.4199999999</v>
      </c>
      <c r="G10" s="18"/>
      <c r="H10" s="18"/>
      <c r="I10" s="18"/>
      <c r="J10" s="67">
        <f>SUM(I439)</f>
        <v>1437313.82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342206.93</v>
      </c>
      <c r="G12" s="18">
        <v>26565.31</v>
      </c>
      <c r="H12" s="18">
        <v>42402.06</v>
      </c>
      <c r="I12" s="18">
        <v>3243433.63</v>
      </c>
      <c r="J12" s="67">
        <f>SUM(I440)</f>
        <v>415300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1437187</v>
      </c>
      <c r="G13" s="18">
        <v>10829.54</v>
      </c>
      <c r="H13" s="18">
        <v>331377.39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34377.440000000002</v>
      </c>
      <c r="G14" s="18">
        <v>5038.71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20008.43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8585270.4999999981</v>
      </c>
      <c r="G19" s="41">
        <f>SUM(G9:G18)</f>
        <v>42433.560000000005</v>
      </c>
      <c r="H19" s="41">
        <f>SUM(H9:H18)</f>
        <v>373779.45</v>
      </c>
      <c r="I19" s="41">
        <f>SUM(I9:I18)</f>
        <v>3243433.63</v>
      </c>
      <c r="J19" s="41">
        <f>SUM(J9:J18)</f>
        <v>1852613.82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3243433.63+26565.31+42402.06</f>
        <v>3312401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352655.41</v>
      </c>
      <c r="G24" s="18">
        <v>28394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>
        <v>1033098.24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90.2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8181.62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3665146.6100000003</v>
      </c>
      <c r="G32" s="41">
        <f>SUM(G22:G31)</f>
        <v>36575.620000000003</v>
      </c>
      <c r="H32" s="41">
        <f>SUM(H22:H31)</f>
        <v>0</v>
      </c>
      <c r="I32" s="41">
        <f>SUM(I22:I31)</f>
        <v>1033098.24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20008.43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5857.94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2210335.39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373779.45</v>
      </c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2436111.34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80091.45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1852613.82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742155.41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1641757.26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4920123.8900000006</v>
      </c>
      <c r="G50" s="41">
        <f>SUM(G35:G49)</f>
        <v>5857.94</v>
      </c>
      <c r="H50" s="41">
        <f>SUM(H35:H49)</f>
        <v>373779.45</v>
      </c>
      <c r="I50" s="41">
        <f>SUM(I35:I49)</f>
        <v>2210335.39</v>
      </c>
      <c r="J50" s="41">
        <f>SUM(J35:J49)</f>
        <v>1852613.82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8585270.5</v>
      </c>
      <c r="G51" s="41">
        <f>G50+G32</f>
        <v>42433.560000000005</v>
      </c>
      <c r="H51" s="41">
        <f>H50+H32</f>
        <v>373779.45</v>
      </c>
      <c r="I51" s="41">
        <f>I50+I32</f>
        <v>3243433.63</v>
      </c>
      <c r="J51" s="41">
        <f>J50+J32</f>
        <v>1852613.82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20738983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20738983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13942+12525</f>
        <v>26467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3400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4178949.08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55147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4263963.08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3233.48</v>
      </c>
      <c r="G95" s="18"/>
      <c r="H95" s="18"/>
      <c r="I95" s="18"/>
      <c r="J95" s="18">
        <v>1778.13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385266.15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13101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47730.5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2876.8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26093.279999999999</v>
      </c>
      <c r="G109" s="18"/>
      <c r="H109" s="18">
        <v>73797.149999999994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93035.06</v>
      </c>
      <c r="G110" s="41">
        <f>SUM(G95:G109)</f>
        <v>385266.15</v>
      </c>
      <c r="H110" s="41">
        <f>SUM(H95:H109)</f>
        <v>73797.149999999994</v>
      </c>
      <c r="I110" s="41">
        <f>SUM(I95:I109)</f>
        <v>0</v>
      </c>
      <c r="J110" s="41">
        <f>SUM(J95:J109)</f>
        <v>1778.13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25095981.139999997</v>
      </c>
      <c r="G111" s="41">
        <f>G59+G110</f>
        <v>385266.15</v>
      </c>
      <c r="H111" s="41">
        <f>H59+H78+H93+H110</f>
        <v>73797.149999999994</v>
      </c>
      <c r="I111" s="41">
        <f>I59+I110</f>
        <v>0</v>
      </c>
      <c r="J111" s="41">
        <f>J59+J110</f>
        <v>1778.13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2797920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4087868-2422.11</f>
        <v>4085445.89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2422.11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6885788.0000000009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364576.35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285444.36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266522.39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9394.73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5386.07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>
        <v>1500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>
        <v>29021.07</v>
      </c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925937.83</v>
      </c>
      <c r="G135" s="41">
        <f>SUM(G122:G134)</f>
        <v>34407.14</v>
      </c>
      <c r="H135" s="41">
        <f>SUM(H122:H134)</f>
        <v>1500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7811725.830000001</v>
      </c>
      <c r="G139" s="41">
        <f>G120+SUM(G135:G136)</f>
        <v>34407.14</v>
      </c>
      <c r="H139" s="41">
        <f>H120+SUM(H135:H138)</f>
        <v>1500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f>679222.85+4843.25</f>
        <v>684066.1</v>
      </c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385263.03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20988.72+150709.14+2789.9</f>
        <v>174487.76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f>88726.67+3272.67</f>
        <v>91999.34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171834.91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142112.89000000001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147231.21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142112.89000000001</v>
      </c>
      <c r="G161" s="41">
        <f>SUM(G149:G160)</f>
        <v>171834.91</v>
      </c>
      <c r="H161" s="41">
        <f>SUM(H149:H160)</f>
        <v>1483047.44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4254.49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146367.38</v>
      </c>
      <c r="G168" s="41">
        <f>G146+G161+SUM(G162:G167)</f>
        <v>171834.91</v>
      </c>
      <c r="H168" s="41">
        <f>H146+H161+SUM(H162:H167)</f>
        <v>1483047.44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23650600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>
        <v>1229179</v>
      </c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24879779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415300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415300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24879779</v>
      </c>
      <c r="J191" s="41">
        <f>J182</f>
        <v>415300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33054074.349999998</v>
      </c>
      <c r="G192" s="47">
        <f>G111+G139+G168+G191</f>
        <v>591508.20000000007</v>
      </c>
      <c r="H192" s="47">
        <f>H111+H139+H168+H191</f>
        <v>1558344.5899999999</v>
      </c>
      <c r="I192" s="47">
        <f>I111+I139+I168+I191</f>
        <v>24879779</v>
      </c>
      <c r="J192" s="47">
        <f>J111+J139+J191</f>
        <v>417078.13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4021180.9-7205.63</f>
        <v>4013975.27</v>
      </c>
      <c r="G196" s="18">
        <f>1661853.47-508.05</f>
        <v>1661345.42</v>
      </c>
      <c r="H196" s="18">
        <f>16054.41-3338</f>
        <v>12716.41</v>
      </c>
      <c r="I196" s="18">
        <v>115400.53</v>
      </c>
      <c r="J196" s="18">
        <v>25950.03</v>
      </c>
      <c r="K196" s="18">
        <v>11251</v>
      </c>
      <c r="L196" s="19">
        <f>SUM(F196:K196)</f>
        <v>5840638.6600000001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1811277.95-43276.06</f>
        <v>1768001.89</v>
      </c>
      <c r="G197" s="18">
        <f>931307.45-3041.58</f>
        <v>928265.87</v>
      </c>
      <c r="H197" s="18">
        <f>550340.04-18147.82</f>
        <v>532192.22000000009</v>
      </c>
      <c r="I197" s="18">
        <f>20922.21-14046.06</f>
        <v>6876.15</v>
      </c>
      <c r="J197" s="18">
        <v>8694.31</v>
      </c>
      <c r="K197" s="18">
        <v>2587</v>
      </c>
      <c r="L197" s="19">
        <f>SUM(F197:K197)</f>
        <v>3246617.44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2568.38</v>
      </c>
      <c r="G199" s="18">
        <v>3753.73</v>
      </c>
      <c r="H199" s="18"/>
      <c r="I199" s="18"/>
      <c r="J199" s="18"/>
      <c r="K199" s="18"/>
      <c r="L199" s="19">
        <f>SUM(F199:K199)</f>
        <v>6322.1100000000006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162852.2+162576.81</f>
        <v>325429.01</v>
      </c>
      <c r="G201" s="18">
        <f>62198.93+71609.1</f>
        <v>133808.03</v>
      </c>
      <c r="H201" s="18">
        <f>21211.5+771.77</f>
        <v>21983.27</v>
      </c>
      <c r="I201" s="18">
        <f>551+4514.67</f>
        <v>5065.67</v>
      </c>
      <c r="J201" s="18">
        <v>139.24</v>
      </c>
      <c r="K201" s="18">
        <v>0</v>
      </c>
      <c r="L201" s="19">
        <f t="shared" ref="L201:L207" si="0">SUM(F201:K201)</f>
        <v>486425.22000000003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34862.69+288664.2+115676.4</f>
        <v>439203.29000000004</v>
      </c>
      <c r="G202" s="18">
        <f>2095.63+131684.44+70895.26</f>
        <v>204675.33000000002</v>
      </c>
      <c r="H202" s="18">
        <f>18093.33+11473.34+2286.95+120000.58</f>
        <v>151854.20000000001</v>
      </c>
      <c r="I202" s="18">
        <f>3986.12+28394.54+9361.33</f>
        <v>41741.99</v>
      </c>
      <c r="J202" s="18">
        <f>5847.06+20643.06</f>
        <v>26490.120000000003</v>
      </c>
      <c r="K202" s="18"/>
      <c r="L202" s="19">
        <f t="shared" si="0"/>
        <v>863964.93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7001.88+231866.26+18484.95</f>
        <v>257353.09000000003</v>
      </c>
      <c r="G203" s="18">
        <f>546.38+105187.65+12725.46</f>
        <v>118459.48999999999</v>
      </c>
      <c r="H203" s="18">
        <f>46885.75+59158.41+8516.07</f>
        <v>114560.23000000001</v>
      </c>
      <c r="I203" s="18">
        <f>821.4+13120.93+1126.05</f>
        <v>15068.38</v>
      </c>
      <c r="J203" s="18">
        <f>2499.4</f>
        <v>2499.4</v>
      </c>
      <c r="K203" s="18">
        <f>2866.61+7145.03+6.37</f>
        <v>10018.01</v>
      </c>
      <c r="L203" s="19">
        <f t="shared" si="0"/>
        <v>517958.60000000009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401916.93</v>
      </c>
      <c r="G204" s="18">
        <v>135445.82</v>
      </c>
      <c r="H204" s="18">
        <v>23839.73</v>
      </c>
      <c r="I204" s="18">
        <v>3107.95</v>
      </c>
      <c r="J204" s="18">
        <v>1019</v>
      </c>
      <c r="K204" s="18">
        <v>2534.9899999999998</v>
      </c>
      <c r="L204" s="19">
        <f t="shared" si="0"/>
        <v>567864.41999999993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377963.28</v>
      </c>
      <c r="G206" s="18">
        <v>162680.49</v>
      </c>
      <c r="H206" s="18">
        <v>171393.41</v>
      </c>
      <c r="I206" s="18">
        <v>260745.57</v>
      </c>
      <c r="J206" s="18">
        <v>13085.22</v>
      </c>
      <c r="K206" s="18">
        <v>206.02</v>
      </c>
      <c r="L206" s="19">
        <f t="shared" si="0"/>
        <v>986073.99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115951.93+43276.06+7205.63</f>
        <v>166433.62</v>
      </c>
      <c r="G207" s="18">
        <f>27986.37+3041.58+508.05</f>
        <v>31535.999999999996</v>
      </c>
      <c r="H207" s="18">
        <f>28379.06+18147.82+3338</f>
        <v>49864.880000000005</v>
      </c>
      <c r="I207" s="18">
        <f>41068.12+14046.06</f>
        <v>55114.18</v>
      </c>
      <c r="J207" s="18">
        <v>244.38</v>
      </c>
      <c r="K207" s="18">
        <v>501.39</v>
      </c>
      <c r="L207" s="19">
        <f t="shared" si="0"/>
        <v>303694.45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7752844.7599999998</v>
      </c>
      <c r="G210" s="41">
        <f t="shared" si="1"/>
        <v>3379970.1799999997</v>
      </c>
      <c r="H210" s="41">
        <f t="shared" si="1"/>
        <v>1078404.3500000001</v>
      </c>
      <c r="I210" s="41">
        <f t="shared" si="1"/>
        <v>503120.42</v>
      </c>
      <c r="J210" s="41">
        <f t="shared" si="1"/>
        <v>78121.7</v>
      </c>
      <c r="K210" s="41">
        <f t="shared" si="1"/>
        <v>27098.41</v>
      </c>
      <c r="L210" s="41">
        <f t="shared" si="1"/>
        <v>12819559.819999998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1496413.39</v>
      </c>
      <c r="G214" s="18">
        <v>643836.43000000005</v>
      </c>
      <c r="H214" s="18">
        <f>5462.32-1632</f>
        <v>3830.3199999999997</v>
      </c>
      <c r="I214" s="18">
        <v>39066.18</v>
      </c>
      <c r="J214" s="18">
        <v>5358.73</v>
      </c>
      <c r="K214" s="18">
        <v>12892.76</v>
      </c>
      <c r="L214" s="19">
        <f>SUM(F214:K214)</f>
        <v>2201397.8099999996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623335.87-16734.39</f>
        <v>606601.48</v>
      </c>
      <c r="G215" s="18">
        <f>359730.64-1176.15</f>
        <v>358554.49</v>
      </c>
      <c r="H215" s="18">
        <f>560355.4-7017.57</f>
        <v>553337.83000000007</v>
      </c>
      <c r="I215" s="18">
        <f>16200.99-5431.46</f>
        <v>10769.529999999999</v>
      </c>
      <c r="J215" s="18">
        <v>2113.0300000000002</v>
      </c>
      <c r="K215" s="18">
        <v>0</v>
      </c>
      <c r="L215" s="19">
        <f>SUM(F215:K215)</f>
        <v>1531376.36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74333.21-12904.32</f>
        <v>61428.890000000007</v>
      </c>
      <c r="G217" s="18">
        <f>7810.18-961.25</f>
        <v>6848.93</v>
      </c>
      <c r="H217" s="18">
        <f>19012.28-1551</f>
        <v>17461.28</v>
      </c>
      <c r="I217" s="18">
        <v>7100.18</v>
      </c>
      <c r="J217" s="18">
        <v>2185.09</v>
      </c>
      <c r="K217" s="18">
        <v>379</v>
      </c>
      <c r="L217" s="19">
        <f>SUM(F217:K217)</f>
        <v>95403.37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77602.26+61703</f>
        <v>139305.26</v>
      </c>
      <c r="G219" s="18">
        <f>15976.27+20854</f>
        <v>36830.270000000004</v>
      </c>
      <c r="H219" s="18">
        <f>54164+290.55</f>
        <v>54454.55</v>
      </c>
      <c r="I219" s="18">
        <f>1412.89+1768.53</f>
        <v>3181.42</v>
      </c>
      <c r="J219" s="18">
        <v>0</v>
      </c>
      <c r="K219" s="18">
        <f>40</f>
        <v>40</v>
      </c>
      <c r="L219" s="19">
        <f t="shared" ref="L219:L225" si="2">SUM(F219:K219)</f>
        <v>233811.50000000003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13084.99+90723.23+30665.95</f>
        <v>134474.17000000001</v>
      </c>
      <c r="G220" s="18">
        <f>779.03+39371.99+11043.24</f>
        <v>51194.259999999995</v>
      </c>
      <c r="H220" s="18">
        <f>10377.69+4265.13+812.28+45176.69</f>
        <v>60631.79</v>
      </c>
      <c r="I220" s="18">
        <f>1500.66+11133+3125.75</f>
        <v>15759.41</v>
      </c>
      <c r="J220" s="18">
        <f>3089.86+21693.79</f>
        <v>24783.65</v>
      </c>
      <c r="K220" s="18"/>
      <c r="L220" s="19">
        <f t="shared" si="2"/>
        <v>286843.28000000003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2636+87290.83+6959.04</f>
        <v>96885.87</v>
      </c>
      <c r="G221" s="18">
        <f>205.7+39600.06+4790.76</f>
        <v>44596.52</v>
      </c>
      <c r="H221" s="18">
        <f>17651.11+22271.4+3206.05</f>
        <v>43128.560000000005</v>
      </c>
      <c r="I221" s="18">
        <f>309.23+4939.64+423.93</f>
        <v>5672.8000000000011</v>
      </c>
      <c r="J221" s="18">
        <f>940.95</f>
        <v>940.95</v>
      </c>
      <c r="K221" s="18">
        <f>1079.2+2689.89+2.4</f>
        <v>3771.4900000000002</v>
      </c>
      <c r="L221" s="19">
        <f t="shared" si="2"/>
        <v>194996.18999999997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235818.42</v>
      </c>
      <c r="G222" s="18">
        <v>85246.03</v>
      </c>
      <c r="H222" s="18">
        <v>19263.2</v>
      </c>
      <c r="I222" s="18">
        <v>3109.16</v>
      </c>
      <c r="J222" s="18">
        <v>0</v>
      </c>
      <c r="K222" s="18">
        <v>1040</v>
      </c>
      <c r="L222" s="19">
        <f t="shared" si="2"/>
        <v>344476.81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164928.46</v>
      </c>
      <c r="G224" s="18">
        <v>75337.259999999995</v>
      </c>
      <c r="H224" s="18">
        <v>61287.62</v>
      </c>
      <c r="I224" s="18">
        <v>115346.14</v>
      </c>
      <c r="J224" s="18">
        <v>343</v>
      </c>
      <c r="K224" s="18">
        <v>69.260000000000005</v>
      </c>
      <c r="L224" s="19">
        <f t="shared" si="2"/>
        <v>417311.74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43652.49+16734.39+12904.32</f>
        <v>73291.199999999997</v>
      </c>
      <c r="G225" s="18">
        <f>10536.04+1176.15+961.25</f>
        <v>12673.44</v>
      </c>
      <c r="H225" s="18">
        <f>10683.88+7017.57+1551+1632</f>
        <v>20884.449999999997</v>
      </c>
      <c r="I225" s="18">
        <f>15460.94+5431.46</f>
        <v>20892.400000000001</v>
      </c>
      <c r="J225" s="18">
        <v>92</v>
      </c>
      <c r="K225" s="18">
        <v>188.76</v>
      </c>
      <c r="L225" s="19">
        <f t="shared" si="2"/>
        <v>128022.24999999999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3009147.1400000006</v>
      </c>
      <c r="G228" s="41">
        <f>SUM(G214:G227)</f>
        <v>1315117.6300000001</v>
      </c>
      <c r="H228" s="41">
        <f>SUM(H214:H227)</f>
        <v>834279.60000000009</v>
      </c>
      <c r="I228" s="41">
        <f>SUM(I214:I227)</f>
        <v>220897.22</v>
      </c>
      <c r="J228" s="41">
        <f>SUM(J214:J227)</f>
        <v>35816.449999999997</v>
      </c>
      <c r="K228" s="41">
        <f t="shared" si="3"/>
        <v>18381.269999999997</v>
      </c>
      <c r="L228" s="41">
        <f t="shared" si="3"/>
        <v>5433639.3100000005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3111283.05-3255.01</f>
        <v>3108028.04</v>
      </c>
      <c r="G232" s="18">
        <f>1186787.03-229.82</f>
        <v>1186557.21</v>
      </c>
      <c r="H232" s="18">
        <f>21822.82-2366.98</f>
        <v>19455.84</v>
      </c>
      <c r="I232" s="18">
        <v>139049.29</v>
      </c>
      <c r="J232" s="18">
        <v>53645</v>
      </c>
      <c r="K232" s="18">
        <v>7486.56</v>
      </c>
      <c r="L232" s="19">
        <f>SUM(F232:K232)</f>
        <v>4514221.9399999995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886980.07-30331.8</f>
        <v>856648.2699999999</v>
      </c>
      <c r="G233" s="18">
        <f>491596.38-2131.82</f>
        <v>489464.56</v>
      </c>
      <c r="H233" s="18">
        <f>575473.05-12719.64</f>
        <v>562753.41</v>
      </c>
      <c r="I233" s="18">
        <f>18496.26-9844.76</f>
        <v>8651.4999999999982</v>
      </c>
      <c r="J233" s="18">
        <v>3042.03</v>
      </c>
      <c r="K233" s="18">
        <v>996</v>
      </c>
      <c r="L233" s="19">
        <f>SUM(F233:K233)</f>
        <v>1921555.7699999998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386480.3-7632</f>
        <v>378848.3</v>
      </c>
      <c r="I234" s="18"/>
      <c r="J234" s="18"/>
      <c r="K234" s="18"/>
      <c r="L234" s="19">
        <f>SUM(F234:K234)</f>
        <v>378848.3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317947.26+18254.48-31852.15</f>
        <v>304349.58999999997</v>
      </c>
      <c r="G235" s="18">
        <f>48556.12+3422.83-2192.4</f>
        <v>49786.55</v>
      </c>
      <c r="H235" s="18">
        <f>134280.08-20765</f>
        <v>113515.07999999999</v>
      </c>
      <c r="I235" s="18">
        <f>9975.73+52204.03</f>
        <v>62179.759999999995</v>
      </c>
      <c r="J235" s="18">
        <v>2550</v>
      </c>
      <c r="K235" s="18">
        <v>35243.4</v>
      </c>
      <c r="L235" s="19">
        <f>SUM(F235:K235)</f>
        <v>567624.38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311114.97+96189.71</f>
        <v>407304.68</v>
      </c>
      <c r="G237" s="18">
        <f>141708.07+38314.2</f>
        <v>180022.27000000002</v>
      </c>
      <c r="H237" s="18">
        <f>92000+753.61</f>
        <v>92753.61</v>
      </c>
      <c r="I237" s="18">
        <f>5874.4+6020.07</f>
        <v>11894.47</v>
      </c>
      <c r="J237" s="18">
        <v>405.95</v>
      </c>
      <c r="K237" s="18">
        <f>588.95+100</f>
        <v>688.95</v>
      </c>
      <c r="L237" s="19">
        <f t="shared" ref="L237:L243" si="4">SUM(F237:K237)</f>
        <v>693069.92999999982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138367.57+100167.1+111291.25</f>
        <v>349825.92000000004</v>
      </c>
      <c r="G238" s="18">
        <f>16940.59+21600.92+40746.41+48386.46</f>
        <v>127674.38</v>
      </c>
      <c r="H238" s="18">
        <f>3180.45+117177.03</f>
        <v>120357.48</v>
      </c>
      <c r="I238" s="18">
        <f>3892.33+16850.11+8828.69</f>
        <v>29571.130000000005</v>
      </c>
      <c r="J238" s="18">
        <f>5046.7+28645.3</f>
        <v>33692</v>
      </c>
      <c r="K238" s="18"/>
      <c r="L238" s="19">
        <f t="shared" si="4"/>
        <v>661120.91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6837.13+226410.58+18050.01</f>
        <v>251297.72</v>
      </c>
      <c r="G239" s="18">
        <f>533.52+102712.65+12426.04</f>
        <v>115672.20999999999</v>
      </c>
      <c r="H239" s="18">
        <f>45782.56+57766.45+8315.69</f>
        <v>111864.7</v>
      </c>
      <c r="I239" s="18">
        <f>802.07+12812.2+1099.56</f>
        <v>14713.83</v>
      </c>
      <c r="J239" s="18">
        <f>2440.59</f>
        <v>2440.59</v>
      </c>
      <c r="K239" s="18">
        <f>2799.16+6976.91+6.22</f>
        <v>9782.2899999999991</v>
      </c>
      <c r="L239" s="19">
        <f t="shared" si="4"/>
        <v>505771.34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349761.37</v>
      </c>
      <c r="G240" s="18">
        <v>142728.97</v>
      </c>
      <c r="H240" s="18">
        <v>44475.35</v>
      </c>
      <c r="I240" s="18">
        <v>20658.75</v>
      </c>
      <c r="J240" s="18">
        <v>5598.77</v>
      </c>
      <c r="K240" s="18">
        <v>2624.18</v>
      </c>
      <c r="L240" s="19">
        <f t="shared" si="4"/>
        <v>565847.39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370462.58</v>
      </c>
      <c r="G242" s="18">
        <v>148055.21</v>
      </c>
      <c r="H242" s="18">
        <v>264539.43</v>
      </c>
      <c r="I242" s="18">
        <v>246534.44</v>
      </c>
      <c r="J242" s="18">
        <v>24514.04</v>
      </c>
      <c r="K242" s="18">
        <v>168.72</v>
      </c>
      <c r="L242" s="19">
        <f t="shared" si="4"/>
        <v>1054274.42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113223.65+30331.8+19700.3+31852.15+3255.01</f>
        <v>198362.90999999997</v>
      </c>
      <c r="G243" s="18">
        <f>27327.87+2131.82+2547.49+2192.4+229.82</f>
        <v>34429.4</v>
      </c>
      <c r="H243" s="18">
        <f>27711.32+12719.64+7632+20765+2366.98</f>
        <v>71194.939999999988</v>
      </c>
      <c r="I243" s="18">
        <f>40101.82+9844.76</f>
        <v>49946.58</v>
      </c>
      <c r="J243" s="18">
        <v>238.63</v>
      </c>
      <c r="K243" s="18">
        <v>489.6</v>
      </c>
      <c r="L243" s="19">
        <f t="shared" si="4"/>
        <v>354662.05999999994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6196041.0800000001</v>
      </c>
      <c r="G246" s="41">
        <f t="shared" si="5"/>
        <v>2474390.7600000002</v>
      </c>
      <c r="H246" s="41">
        <f t="shared" si="5"/>
        <v>1779758.1400000001</v>
      </c>
      <c r="I246" s="41">
        <f t="shared" si="5"/>
        <v>583199.74999999988</v>
      </c>
      <c r="J246" s="41">
        <f t="shared" si="5"/>
        <v>126127.01000000001</v>
      </c>
      <c r="K246" s="41">
        <f t="shared" si="5"/>
        <v>57479.700000000004</v>
      </c>
      <c r="L246" s="41">
        <f t="shared" si="5"/>
        <v>11216996.439999999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1030011.06</v>
      </c>
      <c r="I254" s="18"/>
      <c r="J254" s="18"/>
      <c r="K254" s="18"/>
      <c r="L254" s="19">
        <f t="shared" si="6"/>
        <v>1030011.06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1030011.06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1030011.06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16958032.98</v>
      </c>
      <c r="G256" s="41">
        <f t="shared" si="8"/>
        <v>7169478.5700000003</v>
      </c>
      <c r="H256" s="41">
        <f t="shared" si="8"/>
        <v>4722453.1500000004</v>
      </c>
      <c r="I256" s="41">
        <f t="shared" si="8"/>
        <v>1307217.3899999999</v>
      </c>
      <c r="J256" s="41">
        <f t="shared" si="8"/>
        <v>240065.16</v>
      </c>
      <c r="K256" s="41">
        <f t="shared" si="8"/>
        <v>102959.38</v>
      </c>
      <c r="L256" s="41">
        <f t="shared" si="8"/>
        <v>30500206.629999999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623550</v>
      </c>
      <c r="L259" s="19">
        <f>SUM(F259:K259)</f>
        <v>623550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588663.82999999996</v>
      </c>
      <c r="L260" s="19">
        <f>SUM(F260:K260)</f>
        <v>588663.82999999996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415300</v>
      </c>
      <c r="L265" s="19">
        <f t="shared" si="9"/>
        <v>415300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1627513.83</v>
      </c>
      <c r="L269" s="41">
        <f t="shared" si="9"/>
        <v>1627513.83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16958032.98</v>
      </c>
      <c r="G270" s="42">
        <f t="shared" si="11"/>
        <v>7169478.5700000003</v>
      </c>
      <c r="H270" s="42">
        <f t="shared" si="11"/>
        <v>4722453.1500000004</v>
      </c>
      <c r="I270" s="42">
        <f t="shared" si="11"/>
        <v>1307217.3899999999</v>
      </c>
      <c r="J270" s="42">
        <f t="shared" si="11"/>
        <v>240065.16</v>
      </c>
      <c r="K270" s="42">
        <f t="shared" si="11"/>
        <v>1730473.21</v>
      </c>
      <c r="L270" s="42">
        <f t="shared" si="11"/>
        <v>32127720.460000001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232654.5</v>
      </c>
      <c r="G275" s="18">
        <v>63556.57</v>
      </c>
      <c r="H275" s="18">
        <v>1318.62</v>
      </c>
      <c r="I275" s="18">
        <v>8708.6200000000008</v>
      </c>
      <c r="J275" s="18">
        <v>96391.17</v>
      </c>
      <c r="K275" s="18"/>
      <c r="L275" s="19">
        <f>SUM(F275:K275)</f>
        <v>402629.48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124836.14</v>
      </c>
      <c r="G276" s="18"/>
      <c r="H276" s="18">
        <v>49556.95</v>
      </c>
      <c r="I276" s="18">
        <v>5537.15</v>
      </c>
      <c r="J276" s="18">
        <v>9540.49</v>
      </c>
      <c r="K276" s="18"/>
      <c r="L276" s="19">
        <f>SUM(F276:K276)</f>
        <v>189470.72999999998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337</v>
      </c>
      <c r="G280" s="18"/>
      <c r="H280" s="18"/>
      <c r="I280" s="18"/>
      <c r="J280" s="18"/>
      <c r="K280" s="18"/>
      <c r="L280" s="19">
        <f t="shared" ref="L280:L286" si="12">SUM(F280:K280)</f>
        <v>337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47820.46</v>
      </c>
      <c r="I281" s="18"/>
      <c r="J281" s="18"/>
      <c r="K281" s="18"/>
      <c r="L281" s="19">
        <f t="shared" si="12"/>
        <v>47820.46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5304.4</v>
      </c>
      <c r="G286" s="18"/>
      <c r="H286" s="18"/>
      <c r="I286" s="18"/>
      <c r="J286" s="18"/>
      <c r="K286" s="18"/>
      <c r="L286" s="19">
        <f t="shared" si="12"/>
        <v>5304.4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363132.04000000004</v>
      </c>
      <c r="G289" s="42">
        <f t="shared" si="13"/>
        <v>63556.57</v>
      </c>
      <c r="H289" s="42">
        <f t="shared" si="13"/>
        <v>98696.03</v>
      </c>
      <c r="I289" s="42">
        <f t="shared" si="13"/>
        <v>14245.77</v>
      </c>
      <c r="J289" s="42">
        <f t="shared" si="13"/>
        <v>105931.66</v>
      </c>
      <c r="K289" s="42">
        <f t="shared" si="13"/>
        <v>0</v>
      </c>
      <c r="L289" s="41">
        <f t="shared" si="13"/>
        <v>645562.06999999995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42608.68</v>
      </c>
      <c r="G294" s="18">
        <v>23832.55</v>
      </c>
      <c r="H294" s="18">
        <v>168.01</v>
      </c>
      <c r="I294" s="18">
        <v>3906.85</v>
      </c>
      <c r="J294" s="18">
        <v>33561.449999999997</v>
      </c>
      <c r="K294" s="18"/>
      <c r="L294" s="19">
        <f>SUM(F294:K294)</f>
        <v>104077.54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37906.800000000003</v>
      </c>
      <c r="G295" s="18"/>
      <c r="H295" s="18">
        <v>18581.439999999999</v>
      </c>
      <c r="I295" s="18">
        <v>341.69</v>
      </c>
      <c r="J295" s="18">
        <v>3145.6</v>
      </c>
      <c r="K295" s="18"/>
      <c r="L295" s="19">
        <f>SUM(F295:K295)</f>
        <v>59975.530000000006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>
        <v>175</v>
      </c>
      <c r="J297" s="18">
        <f>535+2023.5</f>
        <v>2558.5</v>
      </c>
      <c r="K297" s="18"/>
      <c r="L297" s="19">
        <f>SUM(F297:K297)</f>
        <v>2733.5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13348.82</v>
      </c>
      <c r="I300" s="18"/>
      <c r="J300" s="18"/>
      <c r="K300" s="18"/>
      <c r="L300" s="19">
        <f t="shared" si="14"/>
        <v>13348.82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>
        <v>1495.31</v>
      </c>
      <c r="J302" s="18"/>
      <c r="K302" s="18"/>
      <c r="L302" s="19">
        <f t="shared" si="14"/>
        <v>1495.31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80515.48000000001</v>
      </c>
      <c r="G308" s="42">
        <f t="shared" si="15"/>
        <v>23832.55</v>
      </c>
      <c r="H308" s="42">
        <f t="shared" si="15"/>
        <v>32098.269999999997</v>
      </c>
      <c r="I308" s="42">
        <f t="shared" si="15"/>
        <v>5918.85</v>
      </c>
      <c r="J308" s="42">
        <f t="shared" si="15"/>
        <v>39265.549999999996</v>
      </c>
      <c r="K308" s="42">
        <f t="shared" si="15"/>
        <v>0</v>
      </c>
      <c r="L308" s="41">
        <f t="shared" si="15"/>
        <v>181630.7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24887.77</v>
      </c>
      <c r="G313" s="18">
        <v>61229.84</v>
      </c>
      <c r="H313" s="18">
        <v>18457.849999999999</v>
      </c>
      <c r="I313" s="18">
        <v>2268.08</v>
      </c>
      <c r="J313" s="18">
        <v>5000</v>
      </c>
      <c r="K313" s="18">
        <v>872</v>
      </c>
      <c r="L313" s="19">
        <f>SUM(F313:K313)</f>
        <v>112715.54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109586.81</v>
      </c>
      <c r="G314" s="18"/>
      <c r="H314" s="18">
        <v>48195.61</v>
      </c>
      <c r="I314" s="18">
        <v>886.26</v>
      </c>
      <c r="J314" s="18">
        <v>8158.9</v>
      </c>
      <c r="K314" s="18"/>
      <c r="L314" s="19">
        <f>SUM(F314:K314)</f>
        <v>166827.57999999999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>
        <v>9102.25</v>
      </c>
      <c r="I315" s="18"/>
      <c r="J315" s="18"/>
      <c r="K315" s="18"/>
      <c r="L315" s="19">
        <f>SUM(F315:K315)</f>
        <v>9102.25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>
        <f>250+1764.79</f>
        <v>2014.79</v>
      </c>
      <c r="J316" s="18"/>
      <c r="K316" s="18">
        <v>3450</v>
      </c>
      <c r="L316" s="19">
        <f>SUM(F316:K316)</f>
        <v>5464.79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10777.98</v>
      </c>
      <c r="G318" s="18"/>
      <c r="H318" s="18"/>
      <c r="I318" s="18"/>
      <c r="J318" s="18"/>
      <c r="K318" s="18"/>
      <c r="L318" s="19">
        <f t="shared" ref="L318:L324" si="16">SUM(F318:K318)</f>
        <v>10777.98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5749.26</v>
      </c>
      <c r="I319" s="18"/>
      <c r="J319" s="18"/>
      <c r="K319" s="18"/>
      <c r="L319" s="19">
        <f t="shared" si="16"/>
        <v>5749.26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>
        <v>1391</v>
      </c>
      <c r="J321" s="18"/>
      <c r="K321" s="18"/>
      <c r="L321" s="19">
        <f t="shared" si="16"/>
        <v>1391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>
        <v>63268.4</v>
      </c>
      <c r="J323" s="18"/>
      <c r="K323" s="18">
        <v>1503.6</v>
      </c>
      <c r="L323" s="19">
        <f t="shared" si="16"/>
        <v>64772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145252.56</v>
      </c>
      <c r="G327" s="42">
        <f t="shared" si="17"/>
        <v>61229.84</v>
      </c>
      <c r="H327" s="42">
        <f t="shared" si="17"/>
        <v>81504.969999999987</v>
      </c>
      <c r="I327" s="42">
        <f t="shared" si="17"/>
        <v>69828.53</v>
      </c>
      <c r="J327" s="42">
        <f t="shared" si="17"/>
        <v>13158.9</v>
      </c>
      <c r="K327" s="42">
        <f t="shared" si="17"/>
        <v>5825.6</v>
      </c>
      <c r="L327" s="41">
        <f t="shared" si="17"/>
        <v>376800.39999999997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40448</v>
      </c>
      <c r="G332" s="18">
        <v>29146.91</v>
      </c>
      <c r="H332" s="18">
        <v>7176.24</v>
      </c>
      <c r="I332" s="18">
        <v>4508.92</v>
      </c>
      <c r="J332" s="18"/>
      <c r="K332" s="18">
        <v>1692.9</v>
      </c>
      <c r="L332" s="19">
        <f t="shared" si="18"/>
        <v>82972.97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40448</v>
      </c>
      <c r="G336" s="41">
        <f t="shared" si="19"/>
        <v>29146.91</v>
      </c>
      <c r="H336" s="41">
        <f t="shared" si="19"/>
        <v>7176.24</v>
      </c>
      <c r="I336" s="41">
        <f t="shared" si="19"/>
        <v>4508.92</v>
      </c>
      <c r="J336" s="41">
        <f t="shared" si="19"/>
        <v>0</v>
      </c>
      <c r="K336" s="41">
        <f t="shared" si="19"/>
        <v>1692.9</v>
      </c>
      <c r="L336" s="41">
        <f t="shared" si="18"/>
        <v>82972.97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629348.08000000007</v>
      </c>
      <c r="G337" s="41">
        <f t="shared" si="20"/>
        <v>177765.87</v>
      </c>
      <c r="H337" s="41">
        <f t="shared" si="20"/>
        <v>219475.50999999995</v>
      </c>
      <c r="I337" s="41">
        <f t="shared" si="20"/>
        <v>94502.069999999992</v>
      </c>
      <c r="J337" s="41">
        <f t="shared" si="20"/>
        <v>158356.10999999999</v>
      </c>
      <c r="K337" s="41">
        <f t="shared" si="20"/>
        <v>7518.5</v>
      </c>
      <c r="L337" s="41">
        <f t="shared" si="20"/>
        <v>1286966.1399999999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629348.08000000007</v>
      </c>
      <c r="G351" s="41">
        <f>G337</f>
        <v>177765.87</v>
      </c>
      <c r="H351" s="41">
        <f>H337</f>
        <v>219475.50999999995</v>
      </c>
      <c r="I351" s="41">
        <f>I337</f>
        <v>94502.069999999992</v>
      </c>
      <c r="J351" s="41">
        <f>J337</f>
        <v>158356.10999999999</v>
      </c>
      <c r="K351" s="47">
        <f>K337+K350</f>
        <v>7518.5</v>
      </c>
      <c r="L351" s="41">
        <f>L337+L350</f>
        <v>1286966.1399999999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0</v>
      </c>
      <c r="G357" s="18">
        <v>0</v>
      </c>
      <c r="H357" s="18">
        <v>242423.99</v>
      </c>
      <c r="I357" s="18">
        <v>14034.29</v>
      </c>
      <c r="J357" s="18"/>
      <c r="K357" s="18"/>
      <c r="L357" s="13">
        <f>SUM(F357:K357)</f>
        <v>256458.28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91265.5</v>
      </c>
      <c r="I358" s="18">
        <v>5283.5</v>
      </c>
      <c r="J358" s="18"/>
      <c r="K358" s="18"/>
      <c r="L358" s="19">
        <f>SUM(F358:K358)</f>
        <v>96549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236719.9</v>
      </c>
      <c r="I359" s="18">
        <v>13704.08</v>
      </c>
      <c r="J359" s="18"/>
      <c r="K359" s="18"/>
      <c r="L359" s="19">
        <f>SUM(F359:K359)</f>
        <v>250423.97999999998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570409.39</v>
      </c>
      <c r="I361" s="47">
        <f t="shared" si="22"/>
        <v>33021.870000000003</v>
      </c>
      <c r="J361" s="47">
        <f t="shared" si="22"/>
        <v>0</v>
      </c>
      <c r="K361" s="47">
        <f t="shared" si="22"/>
        <v>0</v>
      </c>
      <c r="L361" s="47">
        <f t="shared" si="22"/>
        <v>603431.26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12333.95</v>
      </c>
      <c r="G366" s="18">
        <v>4643.37</v>
      </c>
      <c r="H366" s="18">
        <v>12043.74</v>
      </c>
      <c r="I366" s="56">
        <f>SUM(F366:H366)</f>
        <v>29021.059999999998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14034.29-F366</f>
        <v>1700.3400000000001</v>
      </c>
      <c r="G367" s="63">
        <f>5283.5-4643.37</f>
        <v>640.13000000000011</v>
      </c>
      <c r="H367" s="63">
        <f>35.57+622.54+1002.23</f>
        <v>1660.3400000000001</v>
      </c>
      <c r="I367" s="56">
        <f>SUM(F367:H367)</f>
        <v>4000.8100000000004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14034.29</v>
      </c>
      <c r="G368" s="47">
        <f>SUM(G366:G367)</f>
        <v>5283.5</v>
      </c>
      <c r="H368" s="47">
        <f>SUM(H366:H367)</f>
        <v>13704.08</v>
      </c>
      <c r="I368" s="47">
        <f>SUM(I366:I367)</f>
        <v>33021.869999999995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f>2336984.37+466.75</f>
        <v>2337451.12</v>
      </c>
      <c r="I374" s="18"/>
      <c r="J374" s="18"/>
      <c r="K374" s="18"/>
      <c r="L374" s="13">
        <f t="shared" ref="L374:L380" si="23">SUM(F374:K374)</f>
        <v>2337451.12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f>227862.67+28470.76</f>
        <v>256333.43000000002</v>
      </c>
      <c r="I375" s="18"/>
      <c r="J375" s="18"/>
      <c r="K375" s="18"/>
      <c r="L375" s="13">
        <f t="shared" si="23"/>
        <v>256333.43000000002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6432.09</v>
      </c>
      <c r="G377" s="18">
        <f>305.79+132+307.27</f>
        <v>745.06</v>
      </c>
      <c r="H377" s="18">
        <f>53750+10554484.27+11820.5</f>
        <v>10620054.77</v>
      </c>
      <c r="I377" s="18">
        <f>9420.83</f>
        <v>9420.83</v>
      </c>
      <c r="J377" s="18"/>
      <c r="K377" s="18"/>
      <c r="L377" s="13">
        <f t="shared" si="23"/>
        <v>10636652.75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f>37936.77+17434.85+131193.81</f>
        <v>186565.43</v>
      </c>
      <c r="I379" s="18"/>
      <c r="J379" s="18">
        <f>514997.55+60524.64+16582+14963.69</f>
        <v>607067.87999999989</v>
      </c>
      <c r="K379" s="18"/>
      <c r="L379" s="13">
        <f t="shared" si="23"/>
        <v>793633.30999999982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6432.09</v>
      </c>
      <c r="G381" s="139">
        <f t="shared" ref="G381:L381" si="24">SUM(G373:G380)</f>
        <v>745.06</v>
      </c>
      <c r="H381" s="139">
        <f t="shared" si="24"/>
        <v>13400404.75</v>
      </c>
      <c r="I381" s="41">
        <f t="shared" si="24"/>
        <v>9420.83</v>
      </c>
      <c r="J381" s="47">
        <f t="shared" si="24"/>
        <v>607067.87999999989</v>
      </c>
      <c r="K381" s="47">
        <f t="shared" si="24"/>
        <v>0</v>
      </c>
      <c r="L381" s="47">
        <f t="shared" si="24"/>
        <v>14024070.610000001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315300</v>
      </c>
      <c r="H388" s="18">
        <v>1698.97</v>
      </c>
      <c r="I388" s="18"/>
      <c r="J388" s="24" t="s">
        <v>289</v>
      </c>
      <c r="K388" s="24" t="s">
        <v>289</v>
      </c>
      <c r="L388" s="56">
        <f t="shared" si="25"/>
        <v>316998.96999999997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315300</v>
      </c>
      <c r="H392" s="139">
        <f>SUM(H386:H391)</f>
        <v>1698.97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316998.96999999997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v>79.16</v>
      </c>
      <c r="I396" s="18"/>
      <c r="J396" s="24" t="s">
        <v>289</v>
      </c>
      <c r="K396" s="24" t="s">
        <v>289</v>
      </c>
      <c r="L396" s="56">
        <f t="shared" si="26"/>
        <v>50079.16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50000</v>
      </c>
      <c r="H399" s="18">
        <v>0</v>
      </c>
      <c r="I399" s="18"/>
      <c r="J399" s="24" t="s">
        <v>289</v>
      </c>
      <c r="K399" s="24" t="s">
        <v>289</v>
      </c>
      <c r="L399" s="56">
        <f t="shared" si="26"/>
        <v>50000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79.16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100079.16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415300</v>
      </c>
      <c r="H407" s="47">
        <f>H392+H400+H406</f>
        <v>1778.13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417078.13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>
        <v>25</v>
      </c>
      <c r="I422" s="18"/>
      <c r="J422" s="18"/>
      <c r="K422" s="18"/>
      <c r="L422" s="56">
        <f t="shared" si="29"/>
        <v>25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25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25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25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25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1233700.3600000001</v>
      </c>
      <c r="G439" s="18">
        <v>203613.46</v>
      </c>
      <c r="H439" s="18"/>
      <c r="I439" s="56">
        <f t="shared" si="33"/>
        <v>1437313.82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315300</v>
      </c>
      <c r="G440" s="18">
        <v>100000</v>
      </c>
      <c r="H440" s="18"/>
      <c r="I440" s="56">
        <f t="shared" si="33"/>
        <v>415300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1549000.36</v>
      </c>
      <c r="G445" s="13">
        <f>SUM(G438:G444)</f>
        <v>303613.45999999996</v>
      </c>
      <c r="H445" s="13">
        <f>SUM(H438:H444)</f>
        <v>0</v>
      </c>
      <c r="I445" s="13">
        <f>SUM(I438:I444)</f>
        <v>1852613.82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1549000.36</v>
      </c>
      <c r="G458" s="18">
        <v>303613.46000000002</v>
      </c>
      <c r="H458" s="18"/>
      <c r="I458" s="56">
        <f t="shared" si="34"/>
        <v>1852613.82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1549000.36</v>
      </c>
      <c r="G459" s="83">
        <f>SUM(G453:G458)</f>
        <v>303613.46000000002</v>
      </c>
      <c r="H459" s="83">
        <f>SUM(H453:H458)</f>
        <v>0</v>
      </c>
      <c r="I459" s="83">
        <f>SUM(I453:I458)</f>
        <v>1852613.82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1549000.36</v>
      </c>
      <c r="G460" s="42">
        <f>G451+G459</f>
        <v>303613.46000000002</v>
      </c>
      <c r="H460" s="42">
        <f>H451+H459</f>
        <v>0</v>
      </c>
      <c r="I460" s="42">
        <f>I451+I459</f>
        <v>1852613.82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3993770</v>
      </c>
      <c r="G464" s="18">
        <v>17781</v>
      </c>
      <c r="H464" s="18">
        <v>102401</v>
      </c>
      <c r="I464" s="18">
        <v>-8645373</v>
      </c>
      <c r="J464" s="18">
        <v>1435560.69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33054074.349999998</v>
      </c>
      <c r="G467" s="18">
        <f>G192</f>
        <v>591508.20000000007</v>
      </c>
      <c r="H467" s="18">
        <f>H192</f>
        <v>1558344.5899999999</v>
      </c>
      <c r="I467" s="18">
        <f>I192</f>
        <v>24879779</v>
      </c>
      <c r="J467" s="18">
        <f>J192</f>
        <v>417078.13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33054074.349999998</v>
      </c>
      <c r="G469" s="53">
        <f>SUM(G467:G468)</f>
        <v>591508.20000000007</v>
      </c>
      <c r="H469" s="53">
        <f>SUM(H467:H468)</f>
        <v>1558344.5899999999</v>
      </c>
      <c r="I469" s="53">
        <f>SUM(I467:I468)</f>
        <v>24879779</v>
      </c>
      <c r="J469" s="53">
        <f>SUM(J467:J468)</f>
        <v>417078.13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32127720.460000001</v>
      </c>
      <c r="G471" s="18">
        <f>L361</f>
        <v>603431.26</v>
      </c>
      <c r="H471" s="18">
        <f>L351</f>
        <v>1286966.1399999999</v>
      </c>
      <c r="I471" s="18">
        <f>L381</f>
        <v>14024070.610000001</v>
      </c>
      <c r="J471" s="18">
        <f>L433</f>
        <v>25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32127720.460000001</v>
      </c>
      <c r="G473" s="53">
        <f>SUM(G471:G472)</f>
        <v>603431.26</v>
      </c>
      <c r="H473" s="53">
        <f>SUM(H471:H472)</f>
        <v>1286966.1399999999</v>
      </c>
      <c r="I473" s="53">
        <f>SUM(I471:I472)</f>
        <v>14024070.610000001</v>
      </c>
      <c r="J473" s="53">
        <f>SUM(J471:J472)</f>
        <v>25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4920123.8899999931</v>
      </c>
      <c r="G475" s="53">
        <f>(G464+G469)- G473</f>
        <v>5857.9400000000605</v>
      </c>
      <c r="H475" s="53">
        <f>(H464+H469)- H473</f>
        <v>373779.44999999995</v>
      </c>
      <c r="I475" s="53">
        <f>(I464+I469)- I473</f>
        <v>2210335.3899999987</v>
      </c>
      <c r="J475" s="53">
        <f>(J464+J469)- J473</f>
        <v>1852613.8199999998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5</v>
      </c>
      <c r="H489" s="154">
        <v>5</v>
      </c>
      <c r="I489" s="154">
        <v>20</v>
      </c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910</v>
      </c>
      <c r="H490" s="155" t="s">
        <v>911</v>
      </c>
      <c r="I490" s="155" t="s">
        <v>915</v>
      </c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913</v>
      </c>
      <c r="H491" s="155" t="s">
        <v>914</v>
      </c>
      <c r="I491" s="155" t="s">
        <v>916</v>
      </c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4900000</v>
      </c>
      <c r="G492" s="18">
        <v>739000</v>
      </c>
      <c r="H492" s="18">
        <v>678550</v>
      </c>
      <c r="I492" s="18">
        <v>23650600</v>
      </c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 t="s">
        <v>917</v>
      </c>
      <c r="G493" s="18" t="s">
        <v>917</v>
      </c>
      <c r="H493" s="18">
        <v>2.23</v>
      </c>
      <c r="I493" s="18" t="s">
        <v>917</v>
      </c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680000</v>
      </c>
      <c r="G494" s="18">
        <v>290000</v>
      </c>
      <c r="H494" s="18">
        <v>678550</v>
      </c>
      <c r="I494" s="18">
        <v>0</v>
      </c>
      <c r="J494" s="18"/>
      <c r="K494" s="53">
        <f>SUM(F494:J494)</f>
        <v>1648550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23650600</v>
      </c>
      <c r="J495" s="18"/>
      <c r="K495" s="53">
        <f t="shared" ref="K495:K502" si="35">SUM(F495:J495)</f>
        <v>23650600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340000</v>
      </c>
      <c r="G496" s="18">
        <v>145000</v>
      </c>
      <c r="H496" s="18">
        <v>138550</v>
      </c>
      <c r="I496" s="18">
        <v>0</v>
      </c>
      <c r="J496" s="18"/>
      <c r="K496" s="53">
        <f t="shared" si="35"/>
        <v>623550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340000</v>
      </c>
      <c r="G497" s="205">
        <v>145000</v>
      </c>
      <c r="H497" s="205">
        <v>540000</v>
      </c>
      <c r="I497" s="205">
        <v>23650600</v>
      </c>
      <c r="J497" s="205"/>
      <c r="K497" s="206">
        <f t="shared" si="35"/>
        <v>24675600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6800</v>
      </c>
      <c r="G498" s="18">
        <f>3806.25+3806.25</f>
        <v>7612.5</v>
      </c>
      <c r="H498" s="18">
        <f>74863.83-13385.58-11528.25</f>
        <v>49950</v>
      </c>
      <c r="I498" s="18">
        <v>9974261.1699999999</v>
      </c>
      <c r="J498" s="18"/>
      <c r="K498" s="53">
        <f t="shared" si="35"/>
        <v>10038623.67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346800</v>
      </c>
      <c r="G499" s="42">
        <f>SUM(G497:G498)</f>
        <v>152612.5</v>
      </c>
      <c r="H499" s="42">
        <f>SUM(H497:H498)</f>
        <v>589950</v>
      </c>
      <c r="I499" s="42">
        <f>SUM(I497:I498)</f>
        <v>33624861.170000002</v>
      </c>
      <c r="J499" s="42">
        <f>SUM(J497:J498)</f>
        <v>0</v>
      </c>
      <c r="K499" s="42">
        <f t="shared" si="35"/>
        <v>34714223.670000002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340000</v>
      </c>
      <c r="G500" s="205">
        <v>145000</v>
      </c>
      <c r="H500" s="205">
        <v>135000</v>
      </c>
      <c r="I500" s="205">
        <v>1180600</v>
      </c>
      <c r="J500" s="205"/>
      <c r="K500" s="206">
        <f t="shared" si="35"/>
        <v>1800600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6800</v>
      </c>
      <c r="G501" s="18">
        <v>7612.5</v>
      </c>
      <c r="H501" s="18">
        <f>9450+9450</f>
        <v>18900</v>
      </c>
      <c r="I501" s="18">
        <f>550152.17+471559</f>
        <v>1021711.17</v>
      </c>
      <c r="J501" s="18"/>
      <c r="K501" s="53">
        <f t="shared" si="35"/>
        <v>1055023.67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346800</v>
      </c>
      <c r="G502" s="42">
        <f>SUM(G500:G501)</f>
        <v>152612.5</v>
      </c>
      <c r="H502" s="42">
        <f>SUM(H500:H501)</f>
        <v>153900</v>
      </c>
      <c r="I502" s="42">
        <f>SUM(I500:I501)</f>
        <v>2202311.17</v>
      </c>
      <c r="J502" s="42">
        <f>SUM(J500:J501)</f>
        <v>0</v>
      </c>
      <c r="K502" s="42">
        <f t="shared" si="35"/>
        <v>2855623.67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2125532</v>
      </c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1577206.45</v>
      </c>
      <c r="G520" s="18">
        <v>257959.67</v>
      </c>
      <c r="H520" s="18">
        <v>374674.82</v>
      </c>
      <c r="I520" s="18">
        <v>9555.02</v>
      </c>
      <c r="J520" s="18">
        <v>15971.14</v>
      </c>
      <c r="K520" s="18"/>
      <c r="L520" s="88">
        <f>SUM(F520:K520)</f>
        <v>2235367.1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523485.85</v>
      </c>
      <c r="G521" s="18">
        <v>89280.35</v>
      </c>
      <c r="H521" s="18">
        <v>478991.49</v>
      </c>
      <c r="I521" s="18">
        <v>9266.7800000000007</v>
      </c>
      <c r="J521" s="18">
        <v>4631.16</v>
      </c>
      <c r="K521" s="18"/>
      <c r="L521" s="88">
        <f>SUM(F521:K521)</f>
        <v>1105655.6299999999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705997.6</v>
      </c>
      <c r="G522" s="18">
        <v>120802.69</v>
      </c>
      <c r="H522" s="18">
        <v>427997.46</v>
      </c>
      <c r="I522" s="18">
        <v>7453.44</v>
      </c>
      <c r="J522" s="18">
        <v>7185.28</v>
      </c>
      <c r="K522" s="18">
        <v>996</v>
      </c>
      <c r="L522" s="88">
        <f>SUM(F522:K522)</f>
        <v>1270432.47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2806689.9</v>
      </c>
      <c r="G523" s="108">
        <f t="shared" ref="G523:L523" si="36">SUM(G520:G522)</f>
        <v>468042.71</v>
      </c>
      <c r="H523" s="108">
        <f t="shared" si="36"/>
        <v>1281663.77</v>
      </c>
      <c r="I523" s="108">
        <f t="shared" si="36"/>
        <v>26275.24</v>
      </c>
      <c r="J523" s="108">
        <f t="shared" si="36"/>
        <v>27787.579999999998</v>
      </c>
      <c r="K523" s="108">
        <f t="shared" si="36"/>
        <v>996</v>
      </c>
      <c r="L523" s="89">
        <f t="shared" si="36"/>
        <v>4611455.2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265845.23</v>
      </c>
      <c r="G525" s="18">
        <v>43480.26</v>
      </c>
      <c r="H525" s="18">
        <v>228978.06</v>
      </c>
      <c r="I525" s="18">
        <v>1610.54</v>
      </c>
      <c r="J525" s="18">
        <v>2692.01</v>
      </c>
      <c r="K525" s="18"/>
      <c r="L525" s="88">
        <f>SUM(F525:K525)</f>
        <v>542606.10000000009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102799.5</v>
      </c>
      <c r="G526" s="18">
        <v>17532.419999999998</v>
      </c>
      <c r="H526" s="18">
        <v>88543.360000000001</v>
      </c>
      <c r="I526" s="18">
        <v>1819.76</v>
      </c>
      <c r="J526" s="18">
        <v>909.44</v>
      </c>
      <c r="K526" s="18"/>
      <c r="L526" s="88">
        <f>SUM(F526:K526)</f>
        <v>211604.48000000001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197594.57</v>
      </c>
      <c r="G527" s="18">
        <v>33810.25</v>
      </c>
      <c r="H527" s="18">
        <v>160488.65</v>
      </c>
      <c r="I527" s="18">
        <v>2086.0700000000002</v>
      </c>
      <c r="J527" s="18">
        <v>2011.02</v>
      </c>
      <c r="K527" s="18"/>
      <c r="L527" s="88">
        <f>SUM(F527:K527)</f>
        <v>395990.56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566239.30000000005</v>
      </c>
      <c r="G528" s="89">
        <f t="shared" ref="G528:L528" si="37">SUM(G525:G527)</f>
        <v>94822.93</v>
      </c>
      <c r="H528" s="89">
        <f t="shared" si="37"/>
        <v>478010.06999999995</v>
      </c>
      <c r="I528" s="89">
        <f t="shared" si="37"/>
        <v>5516.3700000000008</v>
      </c>
      <c r="J528" s="89">
        <f t="shared" si="37"/>
        <v>5612.47</v>
      </c>
      <c r="K528" s="89">
        <f t="shared" si="37"/>
        <v>0</v>
      </c>
      <c r="L528" s="89">
        <f t="shared" si="37"/>
        <v>1150201.1400000001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62585.48</v>
      </c>
      <c r="G530" s="18">
        <v>10236.15</v>
      </c>
      <c r="H530" s="18">
        <v>2855.78</v>
      </c>
      <c r="I530" s="18">
        <v>379.15</v>
      </c>
      <c r="J530" s="18">
        <v>633.75</v>
      </c>
      <c r="K530" s="18">
        <v>1239.23</v>
      </c>
      <c r="L530" s="88">
        <f>SUM(F530:K530)</f>
        <v>77929.539999999994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24201.13</v>
      </c>
      <c r="G531" s="18">
        <v>4127.5</v>
      </c>
      <c r="H531" s="18">
        <v>1104.3</v>
      </c>
      <c r="I531" s="18">
        <v>428.41</v>
      </c>
      <c r="J531" s="18">
        <v>214.1</v>
      </c>
      <c r="K531" s="18">
        <v>479.2</v>
      </c>
      <c r="L531" s="88">
        <f>SUM(F531:K531)</f>
        <v>30554.639999999999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43865.59</v>
      </c>
      <c r="G532" s="18">
        <v>7505.81</v>
      </c>
      <c r="H532" s="18">
        <v>2001.59</v>
      </c>
      <c r="I532" s="18">
        <v>463.1</v>
      </c>
      <c r="J532" s="18">
        <v>446.44</v>
      </c>
      <c r="K532" s="18">
        <v>868.57</v>
      </c>
      <c r="L532" s="88">
        <f>SUM(F532:K532)</f>
        <v>55151.099999999991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130652.2</v>
      </c>
      <c r="G533" s="89">
        <f t="shared" ref="G533:L533" si="38">SUM(G530:G532)</f>
        <v>21869.46</v>
      </c>
      <c r="H533" s="89">
        <f t="shared" si="38"/>
        <v>5961.67</v>
      </c>
      <c r="I533" s="89">
        <f t="shared" si="38"/>
        <v>1270.6599999999999</v>
      </c>
      <c r="J533" s="89">
        <f t="shared" si="38"/>
        <v>1294.29</v>
      </c>
      <c r="K533" s="89">
        <f t="shared" si="38"/>
        <v>2587</v>
      </c>
      <c r="L533" s="89">
        <f t="shared" si="38"/>
        <v>163635.27999999997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224.49</v>
      </c>
      <c r="I535" s="18"/>
      <c r="J535" s="18"/>
      <c r="K535" s="18"/>
      <c r="L535" s="88">
        <f>SUM(F535:K535)</f>
        <v>224.49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84.51</v>
      </c>
      <c r="I536" s="18"/>
      <c r="J536" s="18"/>
      <c r="K536" s="18"/>
      <c r="L536" s="88">
        <f>SUM(F536:K536)</f>
        <v>84.51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219.21</v>
      </c>
      <c r="I537" s="18"/>
      <c r="J537" s="18"/>
      <c r="K537" s="18"/>
      <c r="L537" s="88">
        <f>SUM(F537:K537)</f>
        <v>219.21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528.21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528.21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43276.06</v>
      </c>
      <c r="G540" s="18">
        <v>3041.58</v>
      </c>
      <c r="H540" s="18">
        <v>18147.82</v>
      </c>
      <c r="I540" s="18">
        <v>14046.06</v>
      </c>
      <c r="J540" s="18"/>
      <c r="K540" s="18"/>
      <c r="L540" s="88">
        <f>SUM(F540:K540)</f>
        <v>78511.520000000004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16734.39</v>
      </c>
      <c r="G541" s="18">
        <v>1176.1500000000001</v>
      </c>
      <c r="H541" s="18">
        <v>7017.57</v>
      </c>
      <c r="I541" s="18">
        <v>5431.46</v>
      </c>
      <c r="J541" s="18"/>
      <c r="K541" s="18"/>
      <c r="L541" s="88">
        <f>SUM(F541:K541)</f>
        <v>30359.57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30331.8</v>
      </c>
      <c r="G542" s="18">
        <v>2131.8200000000002</v>
      </c>
      <c r="H542" s="18">
        <v>12719.64</v>
      </c>
      <c r="I542" s="18">
        <v>9844.76</v>
      </c>
      <c r="J542" s="18"/>
      <c r="K542" s="18"/>
      <c r="L542" s="88">
        <f>SUM(F542:K542)</f>
        <v>55028.02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90342.25</v>
      </c>
      <c r="G543" s="194">
        <f t="shared" ref="G543:L543" si="40">SUM(G540:G542)</f>
        <v>6349.5499999999993</v>
      </c>
      <c r="H543" s="194">
        <f t="shared" si="40"/>
        <v>37885.03</v>
      </c>
      <c r="I543" s="194">
        <f t="shared" si="40"/>
        <v>29322.28</v>
      </c>
      <c r="J543" s="194">
        <f t="shared" si="40"/>
        <v>0</v>
      </c>
      <c r="K543" s="194">
        <f t="shared" si="40"/>
        <v>0</v>
      </c>
      <c r="L543" s="194">
        <f t="shared" si="40"/>
        <v>163899.10999999999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3593923.6500000004</v>
      </c>
      <c r="G544" s="89">
        <f t="shared" ref="G544:L544" si="41">G523+G528+G533+G538+G543</f>
        <v>591084.65</v>
      </c>
      <c r="H544" s="89">
        <f t="shared" si="41"/>
        <v>1804048.7499999998</v>
      </c>
      <c r="I544" s="89">
        <f t="shared" si="41"/>
        <v>62384.55</v>
      </c>
      <c r="J544" s="89">
        <f t="shared" si="41"/>
        <v>34694.339999999997</v>
      </c>
      <c r="K544" s="89">
        <f t="shared" si="41"/>
        <v>3583</v>
      </c>
      <c r="L544" s="89">
        <f t="shared" si="41"/>
        <v>6089718.9400000004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2235367.1</v>
      </c>
      <c r="G548" s="87">
        <f>L525</f>
        <v>542606.10000000009</v>
      </c>
      <c r="H548" s="87">
        <f>L530</f>
        <v>77929.539999999994</v>
      </c>
      <c r="I548" s="87">
        <f>L535</f>
        <v>224.49</v>
      </c>
      <c r="J548" s="87">
        <f>L540</f>
        <v>78511.520000000004</v>
      </c>
      <c r="K548" s="87">
        <f>SUM(F548:J548)</f>
        <v>2934638.7500000005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1105655.6299999999</v>
      </c>
      <c r="G549" s="87">
        <f>L526</f>
        <v>211604.48000000001</v>
      </c>
      <c r="H549" s="87">
        <f>L531</f>
        <v>30554.639999999999</v>
      </c>
      <c r="I549" s="87">
        <f>L536</f>
        <v>84.51</v>
      </c>
      <c r="J549" s="87">
        <f>L541</f>
        <v>30359.57</v>
      </c>
      <c r="K549" s="87">
        <f>SUM(F549:J549)</f>
        <v>1378258.8299999998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1270432.47</v>
      </c>
      <c r="G550" s="87">
        <f>L527</f>
        <v>395990.56</v>
      </c>
      <c r="H550" s="87">
        <f>L532</f>
        <v>55151.099999999991</v>
      </c>
      <c r="I550" s="87">
        <f>L537</f>
        <v>219.21</v>
      </c>
      <c r="J550" s="87">
        <f>L542</f>
        <v>55028.02</v>
      </c>
      <c r="K550" s="87">
        <f>SUM(F550:J550)</f>
        <v>1776821.36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4611455.2</v>
      </c>
      <c r="G551" s="89">
        <f t="shared" si="42"/>
        <v>1150201.1400000001</v>
      </c>
      <c r="H551" s="89">
        <f t="shared" si="42"/>
        <v>163635.27999999997</v>
      </c>
      <c r="I551" s="89">
        <f t="shared" si="42"/>
        <v>528.21</v>
      </c>
      <c r="J551" s="89">
        <f t="shared" si="42"/>
        <v>163899.10999999999</v>
      </c>
      <c r="K551" s="89">
        <f t="shared" si="42"/>
        <v>6089718.9400000004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33528.36</v>
      </c>
      <c r="G579" s="18"/>
      <c r="H579" s="18">
        <v>138632.38</v>
      </c>
      <c r="I579" s="87">
        <f t="shared" si="47"/>
        <v>172160.74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334270.83</v>
      </c>
      <c r="G582" s="18">
        <v>476803.76</v>
      </c>
      <c r="H582" s="18">
        <v>281995.09000000003</v>
      </c>
      <c r="I582" s="87">
        <f t="shared" si="47"/>
        <v>1093069.6800000002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386480.3</v>
      </c>
      <c r="I584" s="87">
        <f t="shared" si="47"/>
        <v>386480.3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214131.25</v>
      </c>
      <c r="I590" s="18">
        <v>80614.12</v>
      </c>
      <c r="J590" s="18">
        <v>209092.87</v>
      </c>
      <c r="K590" s="104">
        <f t="shared" ref="K590:K596" si="48">SUM(H590:J590)</f>
        <v>503838.24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78511.520000000004</v>
      </c>
      <c r="I591" s="18">
        <v>30359.56</v>
      </c>
      <c r="J591" s="18">
        <v>55028.02</v>
      </c>
      <c r="K591" s="104">
        <f t="shared" si="48"/>
        <v>163899.1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29879.79</v>
      </c>
      <c r="K592" s="104">
        <f t="shared" si="48"/>
        <v>29879.79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15416.57</v>
      </c>
      <c r="J593" s="18">
        <v>54809.55</v>
      </c>
      <c r="K593" s="104">
        <f t="shared" si="48"/>
        <v>70226.12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11051.68</v>
      </c>
      <c r="I594" s="18">
        <v>1632</v>
      </c>
      <c r="J594" s="18">
        <v>5851.83</v>
      </c>
      <c r="K594" s="104">
        <f t="shared" si="48"/>
        <v>18535.510000000002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303694.45</v>
      </c>
      <c r="I597" s="108">
        <f>SUM(I590:I596)</f>
        <v>128022.25</v>
      </c>
      <c r="J597" s="108">
        <f>SUM(J590:J596)</f>
        <v>354662.06</v>
      </c>
      <c r="K597" s="108">
        <f>SUM(K590:K596)</f>
        <v>786378.76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78121.7+105931.66</f>
        <v>184053.36</v>
      </c>
      <c r="I603" s="18">
        <f>35816.45+39265.55</f>
        <v>75082</v>
      </c>
      <c r="J603" s="18">
        <f>126127.01+13158.9</f>
        <v>139285.91</v>
      </c>
      <c r="K603" s="104">
        <f>SUM(H603:J603)</f>
        <v>398421.27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184053.36</v>
      </c>
      <c r="I604" s="108">
        <f>SUM(I601:I603)</f>
        <v>75082</v>
      </c>
      <c r="J604" s="108">
        <f>SUM(J601:J603)</f>
        <v>139285.91</v>
      </c>
      <c r="K604" s="108">
        <f>SUM(K601:K603)</f>
        <v>398421.27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35750.230000000003</v>
      </c>
      <c r="G610" s="18">
        <v>2319.7199999999998</v>
      </c>
      <c r="H610" s="18"/>
      <c r="I610" s="18"/>
      <c r="J610" s="18"/>
      <c r="K610" s="18"/>
      <c r="L610" s="88">
        <f>SUM(F610:K610)</f>
        <v>38069.950000000004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18254.48</v>
      </c>
      <c r="G612" s="18">
        <v>3774.75</v>
      </c>
      <c r="H612" s="18"/>
      <c r="I612" s="18"/>
      <c r="J612" s="18"/>
      <c r="K612" s="18"/>
      <c r="L612" s="88">
        <f>SUM(F612:K612)</f>
        <v>22029.23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54004.710000000006</v>
      </c>
      <c r="G613" s="108">
        <f t="shared" si="49"/>
        <v>6094.4699999999993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60099.180000000008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8585270.4999999981</v>
      </c>
      <c r="H616" s="109">
        <f>SUM(F51)</f>
        <v>8585270.5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42433.560000000005</v>
      </c>
      <c r="H617" s="109">
        <f>SUM(G51)</f>
        <v>42433.560000000005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373779.45</v>
      </c>
      <c r="H618" s="109">
        <f>SUM(H51)</f>
        <v>373779.45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3243433.63</v>
      </c>
      <c r="H619" s="109">
        <f>SUM(I51)</f>
        <v>3243433.63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1852613.82</v>
      </c>
      <c r="H620" s="109">
        <f>SUM(J51)</f>
        <v>1852613.82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4920123.8900000006</v>
      </c>
      <c r="H621" s="109">
        <f>F475</f>
        <v>4920123.8899999931</v>
      </c>
      <c r="I621" s="121" t="s">
        <v>101</v>
      </c>
      <c r="J621" s="109">
        <f t="shared" ref="J621:J654" si="50">G621-H621</f>
        <v>7.4505805969238281E-9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5857.94</v>
      </c>
      <c r="H622" s="109">
        <f>G475</f>
        <v>5857.9400000000605</v>
      </c>
      <c r="I622" s="121" t="s">
        <v>102</v>
      </c>
      <c r="J622" s="109">
        <f t="shared" si="50"/>
        <v>-6.0936145018786192E-11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373779.45</v>
      </c>
      <c r="H623" s="109">
        <f>H475</f>
        <v>373779.44999999995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2210335.39</v>
      </c>
      <c r="H624" s="109">
        <f>I475</f>
        <v>2210335.3899999987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1852613.82</v>
      </c>
      <c r="H625" s="109">
        <f>J475</f>
        <v>1852613.8199999998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33054074.349999998</v>
      </c>
      <c r="H626" s="104">
        <f>SUM(F467)</f>
        <v>33054074.349999998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591508.20000000007</v>
      </c>
      <c r="H627" s="104">
        <f>SUM(G467)</f>
        <v>591508.20000000007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1558344.5899999999</v>
      </c>
      <c r="H628" s="104">
        <f>SUM(H467)</f>
        <v>1558344.5899999999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24879779</v>
      </c>
      <c r="H629" s="104">
        <f>SUM(I467)</f>
        <v>24879779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417078.13</v>
      </c>
      <c r="H630" s="104">
        <f>SUM(J467)</f>
        <v>417078.13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32127720.460000001</v>
      </c>
      <c r="H631" s="104">
        <f>SUM(F471)</f>
        <v>32127720.460000001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1286966.1399999999</v>
      </c>
      <c r="H632" s="104">
        <f>SUM(H471)</f>
        <v>1286966.1399999999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33021.870000000003</v>
      </c>
      <c r="H633" s="104">
        <f>I368</f>
        <v>33021.869999999995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603431.26</v>
      </c>
      <c r="H634" s="104">
        <f>SUM(G471)</f>
        <v>603431.26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14024070.610000001</v>
      </c>
      <c r="H635" s="104">
        <f>SUM(I471)</f>
        <v>14024070.610000001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417078.13</v>
      </c>
      <c r="H636" s="164">
        <f>SUM(J467)</f>
        <v>417078.13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25</v>
      </c>
      <c r="H637" s="164">
        <f>SUM(J471)</f>
        <v>25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1549000.36</v>
      </c>
      <c r="H638" s="104">
        <f>SUM(F460)</f>
        <v>1549000.36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303613.45999999996</v>
      </c>
      <c r="H639" s="104">
        <f>SUM(G460)</f>
        <v>303613.46000000002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1852613.82</v>
      </c>
      <c r="H641" s="104">
        <f>SUM(I460)</f>
        <v>1852613.82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1778.13</v>
      </c>
      <c r="H643" s="104">
        <f>H407</f>
        <v>1778.13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415300</v>
      </c>
      <c r="H644" s="104">
        <f>G407</f>
        <v>415300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417078.13</v>
      </c>
      <c r="H645" s="104">
        <f>L407</f>
        <v>417078.13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786378.76</v>
      </c>
      <c r="H646" s="104">
        <f>L207+L225+L243</f>
        <v>786378.76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398421.27</v>
      </c>
      <c r="H647" s="104">
        <f>(J256+J337)-(J254+J335)</f>
        <v>398421.27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303694.45</v>
      </c>
      <c r="H648" s="104">
        <f>H597</f>
        <v>303694.45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128022.24999999999</v>
      </c>
      <c r="H649" s="104">
        <f>I597</f>
        <v>128022.25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354662.05999999994</v>
      </c>
      <c r="H650" s="104">
        <f>J597</f>
        <v>354662.06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415300</v>
      </c>
      <c r="H654" s="104">
        <f>K265+K346</f>
        <v>415300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13721580.169999998</v>
      </c>
      <c r="G659" s="19">
        <f>(L228+L308+L358)</f>
        <v>5711819.0100000007</v>
      </c>
      <c r="H659" s="19">
        <f>(L246+L327+L359)</f>
        <v>11844220.82</v>
      </c>
      <c r="I659" s="19">
        <f>SUM(F659:H659)</f>
        <v>31277620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163738.11023847523</v>
      </c>
      <c r="G660" s="19">
        <f>(L358/IF(SUM(L357:L359)=0,1,SUM(L357:L359))*(SUM(G96:G109)))</f>
        <v>61642.582978465514</v>
      </c>
      <c r="H660" s="19">
        <f>(L359/IF(SUM(L357:L359)=0,1,SUM(L357:L359))*(SUM(G96:G109)))</f>
        <v>159885.45678305926</v>
      </c>
      <c r="I660" s="19">
        <f>SUM(F660:H660)</f>
        <v>385266.15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308754.47000000003</v>
      </c>
      <c r="G661" s="19">
        <f>(L225+L305)-(J225+J305)</f>
        <v>127930.24999999999</v>
      </c>
      <c r="H661" s="19">
        <f>(L243+L324)-(J243+J324)</f>
        <v>354423.42999999993</v>
      </c>
      <c r="I661" s="19">
        <f>SUM(F661:H661)</f>
        <v>791108.14999999991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589922.5</v>
      </c>
      <c r="G662" s="200">
        <f>SUM(G574:G586)+SUM(I601:I603)+L611</f>
        <v>551885.76</v>
      </c>
      <c r="H662" s="200">
        <f>SUM(H574:H586)+SUM(J601:J603)+L612</f>
        <v>968422.91</v>
      </c>
      <c r="I662" s="19">
        <f>SUM(F662:H662)</f>
        <v>2110231.17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12659165.089761524</v>
      </c>
      <c r="G663" s="19">
        <f>G659-SUM(G660:G662)</f>
        <v>4970360.4170215353</v>
      </c>
      <c r="H663" s="19">
        <f>H659-SUM(H660:H662)</f>
        <v>10361489.02321694</v>
      </c>
      <c r="I663" s="19">
        <f>I659-SUM(I660:I662)</f>
        <v>27991014.530000001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676.45</v>
      </c>
      <c r="G664" s="249">
        <v>278.55</v>
      </c>
      <c r="H664" s="249">
        <v>716.73</v>
      </c>
      <c r="I664" s="19">
        <f>SUM(F664:H664)</f>
        <v>1671.73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18714.12</v>
      </c>
      <c r="G666" s="19">
        <f>ROUND(G663/G664,2)</f>
        <v>17843.689999999999</v>
      </c>
      <c r="H666" s="19">
        <f>ROUND(H663/H664,2)</f>
        <v>14456.61</v>
      </c>
      <c r="I666" s="19">
        <f>ROUND(I663/I664,2)</f>
        <v>16743.740000000002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-43.2</v>
      </c>
      <c r="I669" s="19">
        <f>SUM(F669:H669)</f>
        <v>-43.2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18714.12</v>
      </c>
      <c r="G671" s="19">
        <f>ROUND((G663+G668)/(G664+G669),2)</f>
        <v>17843.689999999999</v>
      </c>
      <c r="H671" s="19">
        <f>ROUND((H663+H668)/(H664+H669),2)</f>
        <v>15383.86</v>
      </c>
      <c r="I671" s="19">
        <f>ROUND((I663+I668)/(I664+I669),2)</f>
        <v>17187.900000000001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I20" sqref="I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Lebanon SD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8918567.6499999985</v>
      </c>
      <c r="C9" s="230">
        <f>'DOE25'!G196+'DOE25'!G214+'DOE25'!G232+'DOE25'!G275+'DOE25'!G294+'DOE25'!G313</f>
        <v>3640358.0199999996</v>
      </c>
    </row>
    <row r="10" spans="1:3" x14ac:dyDescent="0.2">
      <c r="A10" t="s">
        <v>779</v>
      </c>
      <c r="B10" s="241">
        <f>8086037.44+299385.55</f>
        <v>8385422.9900000002</v>
      </c>
      <c r="C10" s="241">
        <f>148618.97+3283005.75</f>
        <v>3431624.72</v>
      </c>
    </row>
    <row r="11" spans="1:3" x14ac:dyDescent="0.2">
      <c r="A11" t="s">
        <v>780</v>
      </c>
      <c r="B11" s="241">
        <f>532379.26+765.4</f>
        <v>533144.66</v>
      </c>
      <c r="C11" s="241">
        <v>208733.3</v>
      </c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8918567.6500000004</v>
      </c>
      <c r="C13" s="232">
        <f>SUM(C10:C12)</f>
        <v>3640358.02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3503581.39</v>
      </c>
      <c r="C18" s="230">
        <f>'DOE25'!G197+'DOE25'!G215+'DOE25'!G233+'DOE25'!G276+'DOE25'!G295+'DOE25'!G314</f>
        <v>1776284.92</v>
      </c>
    </row>
    <row r="19" spans="1:3" x14ac:dyDescent="0.2">
      <c r="A19" t="s">
        <v>779</v>
      </c>
      <c r="B19" s="241">
        <f>44887.31+2155658.4</f>
        <v>2200545.71</v>
      </c>
      <c r="C19" s="241">
        <v>898439.6</v>
      </c>
    </row>
    <row r="20" spans="1:3" x14ac:dyDescent="0.2">
      <c r="A20" t="s">
        <v>780</v>
      </c>
      <c r="B20" s="241">
        <f>227442.44+944941.04</f>
        <v>1172383.48</v>
      </c>
      <c r="C20" s="241">
        <v>829328.86</v>
      </c>
    </row>
    <row r="21" spans="1:3" x14ac:dyDescent="0.2">
      <c r="A21" t="s">
        <v>781</v>
      </c>
      <c r="B21" s="241">
        <f>91000+39652.2</f>
        <v>130652.2</v>
      </c>
      <c r="C21" s="241">
        <v>48516.46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3503581.39</v>
      </c>
      <c r="C22" s="232">
        <f>SUM(C19:C21)</f>
        <v>1776284.92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368346.86</v>
      </c>
      <c r="C36" s="236">
        <f>'DOE25'!G199+'DOE25'!G217+'DOE25'!G235+'DOE25'!G278+'DOE25'!G297+'DOE25'!G316</f>
        <v>60389.210000000006</v>
      </c>
    </row>
    <row r="37" spans="1:3" x14ac:dyDescent="0.2">
      <c r="A37" t="s">
        <v>779</v>
      </c>
      <c r="B37" s="241">
        <v>72623.210000000006</v>
      </c>
      <c r="C37" s="241">
        <v>18720.650000000001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295723.65000000002</v>
      </c>
      <c r="C39" s="241">
        <v>41668.559999999998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368346.86000000004</v>
      </c>
      <c r="C40" s="232">
        <f>SUM(C37:C39)</f>
        <v>60389.21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M36" sqref="M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Lebanon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20304006.140000001</v>
      </c>
      <c r="D5" s="20">
        <f>SUM('DOE25'!L196:L199)+SUM('DOE25'!L214:L217)+SUM('DOE25'!L232:L235)-F5-G5</f>
        <v>20129632.200000003</v>
      </c>
      <c r="E5" s="244"/>
      <c r="F5" s="256">
        <f>SUM('DOE25'!J196:J199)+SUM('DOE25'!J214:J217)+SUM('DOE25'!J232:J235)</f>
        <v>103538.22</v>
      </c>
      <c r="G5" s="53">
        <f>SUM('DOE25'!K196:K199)+SUM('DOE25'!K214:K217)+SUM('DOE25'!K232:K235)</f>
        <v>70835.72</v>
      </c>
      <c r="H5" s="260"/>
    </row>
    <row r="6" spans="1:9" x14ac:dyDescent="0.2">
      <c r="A6" s="32">
        <v>2100</v>
      </c>
      <c r="B6" t="s">
        <v>801</v>
      </c>
      <c r="C6" s="246">
        <f t="shared" si="0"/>
        <v>1413306.65</v>
      </c>
      <c r="D6" s="20">
        <f>'DOE25'!L201+'DOE25'!L219+'DOE25'!L237-F6-G6</f>
        <v>1412032.51</v>
      </c>
      <c r="E6" s="244"/>
      <c r="F6" s="256">
        <f>'DOE25'!J201+'DOE25'!J219+'DOE25'!J237</f>
        <v>545.19000000000005</v>
      </c>
      <c r="G6" s="53">
        <f>'DOE25'!K201+'DOE25'!K219+'DOE25'!K237</f>
        <v>728.95</v>
      </c>
      <c r="H6" s="260"/>
    </row>
    <row r="7" spans="1:9" x14ac:dyDescent="0.2">
      <c r="A7" s="32">
        <v>2200</v>
      </c>
      <c r="B7" t="s">
        <v>834</v>
      </c>
      <c r="C7" s="246">
        <f t="shared" si="0"/>
        <v>1811929.12</v>
      </c>
      <c r="D7" s="20">
        <f>'DOE25'!L202+'DOE25'!L220+'DOE25'!L238-F7-G7</f>
        <v>1726963.35</v>
      </c>
      <c r="E7" s="244"/>
      <c r="F7" s="256">
        <f>'DOE25'!J202+'DOE25'!J220+'DOE25'!J238</f>
        <v>84965.77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715200.00000000023</v>
      </c>
      <c r="D8" s="244"/>
      <c r="E8" s="20">
        <f>'DOE25'!L203+'DOE25'!L221+'DOE25'!L239-F8-G8-D9-D11</f>
        <v>685747.27000000025</v>
      </c>
      <c r="F8" s="256">
        <f>'DOE25'!J203+'DOE25'!J221+'DOE25'!J239</f>
        <v>5880.9400000000005</v>
      </c>
      <c r="G8" s="53">
        <f>'DOE25'!K203+'DOE25'!K221+'DOE25'!K239</f>
        <v>23571.79</v>
      </c>
      <c r="H8" s="260"/>
    </row>
    <row r="9" spans="1:9" x14ac:dyDescent="0.2">
      <c r="A9" s="32">
        <v>2310</v>
      </c>
      <c r="B9" t="s">
        <v>818</v>
      </c>
      <c r="C9" s="246">
        <f t="shared" si="0"/>
        <v>136757.68</v>
      </c>
      <c r="D9" s="245">
        <f>136757.68</f>
        <v>136757.68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31650</v>
      </c>
      <c r="D10" s="244"/>
      <c r="E10" s="245">
        <v>31650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366768.45</v>
      </c>
      <c r="D11" s="245">
        <v>366768.45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1478188.62</v>
      </c>
      <c r="D12" s="20">
        <f>'DOE25'!L204+'DOE25'!L222+'DOE25'!L240-F12-G12</f>
        <v>1465371.6800000002</v>
      </c>
      <c r="E12" s="244"/>
      <c r="F12" s="256">
        <f>'DOE25'!J204+'DOE25'!J222+'DOE25'!J240</f>
        <v>6617.77</v>
      </c>
      <c r="G12" s="53">
        <f>'DOE25'!K204+'DOE25'!K222+'DOE25'!K240</f>
        <v>6199.17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2457660.15</v>
      </c>
      <c r="D14" s="20">
        <f>'DOE25'!L206+'DOE25'!L224+'DOE25'!L242-F14-G14</f>
        <v>2419273.89</v>
      </c>
      <c r="E14" s="244"/>
      <c r="F14" s="256">
        <f>'DOE25'!J206+'DOE25'!J224+'DOE25'!J242</f>
        <v>37942.26</v>
      </c>
      <c r="G14" s="53">
        <f>'DOE25'!K206+'DOE25'!K224+'DOE25'!K242</f>
        <v>444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786378.76</v>
      </c>
      <c r="D15" s="20">
        <f>'DOE25'!L207+'DOE25'!L225+'DOE25'!L243-F15-G15</f>
        <v>784624</v>
      </c>
      <c r="E15" s="244"/>
      <c r="F15" s="256">
        <f>'DOE25'!J207+'DOE25'!J225+'DOE25'!J243</f>
        <v>575.01</v>
      </c>
      <c r="G15" s="53">
        <f>'DOE25'!K207+'DOE25'!K225+'DOE25'!K243</f>
        <v>1179.75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1030011.06</v>
      </c>
      <c r="D22" s="244"/>
      <c r="E22" s="244"/>
      <c r="F22" s="256">
        <f>'DOE25'!L254+'DOE25'!L335</f>
        <v>1030011.06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1212213.83</v>
      </c>
      <c r="D25" s="244"/>
      <c r="E25" s="244"/>
      <c r="F25" s="259"/>
      <c r="G25" s="257"/>
      <c r="H25" s="258">
        <f>'DOE25'!L259+'DOE25'!L260+'DOE25'!L340+'DOE25'!L341</f>
        <v>1212213.83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574410.19999999995</v>
      </c>
      <c r="D29" s="20">
        <f>'DOE25'!L357+'DOE25'!L358+'DOE25'!L359-'DOE25'!I366-F29-G29</f>
        <v>574410.19999999995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1286966.1399999997</v>
      </c>
      <c r="D31" s="20">
        <f>'DOE25'!L289+'DOE25'!L308+'DOE25'!L327+'DOE25'!L332+'DOE25'!L333+'DOE25'!L334-F31-G31</f>
        <v>1121091.5299999998</v>
      </c>
      <c r="E31" s="244"/>
      <c r="F31" s="256">
        <f>'DOE25'!J289+'DOE25'!J308+'DOE25'!J327+'DOE25'!J332+'DOE25'!J333+'DOE25'!J334</f>
        <v>158356.10999999999</v>
      </c>
      <c r="G31" s="53">
        <f>'DOE25'!K289+'DOE25'!K308+'DOE25'!K327+'DOE25'!K332+'DOE25'!K333+'DOE25'!K334</f>
        <v>7518.5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30136925.490000006</v>
      </c>
      <c r="E33" s="247">
        <f>SUM(E5:E31)</f>
        <v>717397.27000000025</v>
      </c>
      <c r="F33" s="247">
        <f>SUM(F5:F31)</f>
        <v>1428432.33</v>
      </c>
      <c r="G33" s="247">
        <f>SUM(G5:G31)</f>
        <v>110477.87999999999</v>
      </c>
      <c r="H33" s="247">
        <f>SUM(H5:H31)</f>
        <v>1212213.83</v>
      </c>
    </row>
    <row r="35" spans="2:8" ht="12" thickBot="1" x14ac:dyDescent="0.25">
      <c r="B35" s="254" t="s">
        <v>847</v>
      </c>
      <c r="D35" s="255">
        <f>E33</f>
        <v>717397.27000000025</v>
      </c>
      <c r="E35" s="250"/>
    </row>
    <row r="36" spans="2:8" ht="12" thickTop="1" x14ac:dyDescent="0.2">
      <c r="B36" t="s">
        <v>815</v>
      </c>
      <c r="D36" s="20">
        <f>D33</f>
        <v>30136925.490000006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Lebanon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991854.28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5759636.4199999999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1437313.82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342206.93</v>
      </c>
      <c r="D11" s="95">
        <f>'DOE25'!G12</f>
        <v>26565.31</v>
      </c>
      <c r="E11" s="95">
        <f>'DOE25'!H12</f>
        <v>42402.06</v>
      </c>
      <c r="F11" s="95">
        <f>'DOE25'!I12</f>
        <v>3243433.63</v>
      </c>
      <c r="G11" s="95">
        <f>'DOE25'!J12</f>
        <v>415300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1437187</v>
      </c>
      <c r="D12" s="95">
        <f>'DOE25'!G13</f>
        <v>10829.54</v>
      </c>
      <c r="E12" s="95">
        <f>'DOE25'!H13</f>
        <v>331377.39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34377.440000000002</v>
      </c>
      <c r="D13" s="95">
        <f>'DOE25'!G14</f>
        <v>5038.71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20008.43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8585270.4999999981</v>
      </c>
      <c r="D18" s="41">
        <f>SUM(D8:D17)</f>
        <v>42433.560000000005</v>
      </c>
      <c r="E18" s="41">
        <f>SUM(E8:E17)</f>
        <v>373779.45</v>
      </c>
      <c r="F18" s="41">
        <f>SUM(F8:F17)</f>
        <v>3243433.63</v>
      </c>
      <c r="G18" s="41">
        <f>SUM(G8:G17)</f>
        <v>1852613.82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3312401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352655.41</v>
      </c>
      <c r="D23" s="95">
        <f>'DOE25'!G24</f>
        <v>28394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1033098.24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90.2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8181.62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3665146.6100000003</v>
      </c>
      <c r="D31" s="41">
        <f>SUM(D21:D30)</f>
        <v>36575.620000000003</v>
      </c>
      <c r="E31" s="41">
        <f>SUM(E21:E30)</f>
        <v>0</v>
      </c>
      <c r="F31" s="41">
        <f>SUM(F21:F30)</f>
        <v>1033098.24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20008.43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5857.94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2210335.39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373779.45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2436111.34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80091.45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1852613.82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742155.41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1641757.26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4920123.8900000006</v>
      </c>
      <c r="D49" s="41">
        <f>SUM(D34:D48)</f>
        <v>5857.94</v>
      </c>
      <c r="E49" s="41">
        <f>SUM(E34:E48)</f>
        <v>373779.45</v>
      </c>
      <c r="F49" s="41">
        <f>SUM(F34:F48)</f>
        <v>2210335.39</v>
      </c>
      <c r="G49" s="41">
        <f>SUM(G34:G48)</f>
        <v>1852613.82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8585270.5</v>
      </c>
      <c r="D50" s="41">
        <f>D49+D31</f>
        <v>42433.560000000005</v>
      </c>
      <c r="E50" s="41">
        <f>E49+E31</f>
        <v>373779.45</v>
      </c>
      <c r="F50" s="41">
        <f>F49+F31</f>
        <v>3243433.63</v>
      </c>
      <c r="G50" s="41">
        <f>G49+G31</f>
        <v>1852613.82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20738983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4263963.08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3233.48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1778.13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385266.15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89801.58</v>
      </c>
      <c r="D60" s="95">
        <f>SUM('DOE25'!G97:G109)</f>
        <v>0</v>
      </c>
      <c r="E60" s="95">
        <f>SUM('DOE25'!H97:H109)</f>
        <v>73797.149999999994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4356998.1400000006</v>
      </c>
      <c r="D61" s="130">
        <f>SUM(D56:D60)</f>
        <v>385266.15</v>
      </c>
      <c r="E61" s="130">
        <f>SUM(E56:E60)</f>
        <v>73797.149999999994</v>
      </c>
      <c r="F61" s="130">
        <f>SUM(F56:F60)</f>
        <v>0</v>
      </c>
      <c r="G61" s="130">
        <f>SUM(G56:G60)</f>
        <v>1778.13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25095981.140000001</v>
      </c>
      <c r="D62" s="22">
        <f>D55+D61</f>
        <v>385266.15</v>
      </c>
      <c r="E62" s="22">
        <f>E55+E61</f>
        <v>73797.149999999994</v>
      </c>
      <c r="F62" s="22">
        <f>F55+F61</f>
        <v>0</v>
      </c>
      <c r="G62" s="22">
        <f>G55+G61</f>
        <v>1778.13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2797920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4085445.89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2422.11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6885788.0000000009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364576.35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285444.36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275917.12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34407.14</v>
      </c>
      <c r="E76" s="95">
        <f>SUM('DOE25'!H130:H134)</f>
        <v>1500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925937.83</v>
      </c>
      <c r="D77" s="130">
        <f>SUM(D71:D76)</f>
        <v>34407.14</v>
      </c>
      <c r="E77" s="130">
        <f>SUM(E71:E76)</f>
        <v>1500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7811725.830000001</v>
      </c>
      <c r="D80" s="130">
        <f>SUM(D78:D79)+D77+D69</f>
        <v>34407.14</v>
      </c>
      <c r="E80" s="130">
        <f>SUM(E78:E79)+E77+E69</f>
        <v>1500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684066.1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142112.89000000001</v>
      </c>
      <c r="D87" s="95">
        <f>SUM('DOE25'!G152:G160)</f>
        <v>171834.91</v>
      </c>
      <c r="E87" s="95">
        <f>SUM('DOE25'!H152:H160)</f>
        <v>798981.34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4254.49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146367.38</v>
      </c>
      <c r="D90" s="131">
        <f>SUM(D84:D89)</f>
        <v>171834.91</v>
      </c>
      <c r="E90" s="131">
        <f>SUM(E84:E89)</f>
        <v>1483047.44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24879779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415300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24879779</v>
      </c>
      <c r="G102" s="86">
        <f>SUM(G92:G101)</f>
        <v>415300</v>
      </c>
    </row>
    <row r="103" spans="1:7" ht="12.75" thickTop="1" thickBot="1" x14ac:dyDescent="0.25">
      <c r="A103" s="33" t="s">
        <v>765</v>
      </c>
      <c r="C103" s="86">
        <f>C62+C80+C90+C102</f>
        <v>33054074.350000001</v>
      </c>
      <c r="D103" s="86">
        <f>D62+D80+D90+D102</f>
        <v>591508.20000000007</v>
      </c>
      <c r="E103" s="86">
        <f>E62+E80+E90+E102</f>
        <v>1558344.5899999999</v>
      </c>
      <c r="F103" s="86">
        <f>F62+F80+F90+F102</f>
        <v>24879779</v>
      </c>
      <c r="G103" s="86">
        <f>G62+G80+G102</f>
        <v>417078.13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12556258.41</v>
      </c>
      <c r="D108" s="24" t="s">
        <v>289</v>
      </c>
      <c r="E108" s="95">
        <f>('DOE25'!L275)+('DOE25'!L294)+('DOE25'!L313)</f>
        <v>619422.55999999994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6699549.5699999994</v>
      </c>
      <c r="D109" s="24" t="s">
        <v>289</v>
      </c>
      <c r="E109" s="95">
        <f>('DOE25'!L276)+('DOE25'!L295)+('DOE25'!L314)</f>
        <v>416273.83999999997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378848.3</v>
      </c>
      <c r="D110" s="24" t="s">
        <v>289</v>
      </c>
      <c r="E110" s="95">
        <f>('DOE25'!L277)+('DOE25'!L296)+('DOE25'!L315)</f>
        <v>9102.25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669349.86</v>
      </c>
      <c r="D111" s="24" t="s">
        <v>289</v>
      </c>
      <c r="E111" s="95">
        <f>+('DOE25'!L278)+('DOE25'!L297)+('DOE25'!L316)</f>
        <v>8198.2900000000009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82972.97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20304006.140000001</v>
      </c>
      <c r="D114" s="86">
        <f>SUM(D108:D113)</f>
        <v>0</v>
      </c>
      <c r="E114" s="86">
        <f>SUM(E108:E113)</f>
        <v>1135969.9099999999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1413306.65</v>
      </c>
      <c r="D117" s="24" t="s">
        <v>289</v>
      </c>
      <c r="E117" s="95">
        <f>+('DOE25'!L280)+('DOE25'!L299)+('DOE25'!L318)</f>
        <v>11114.98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1811929.12</v>
      </c>
      <c r="D118" s="24" t="s">
        <v>289</v>
      </c>
      <c r="E118" s="95">
        <f>+('DOE25'!L281)+('DOE25'!L300)+('DOE25'!L319)</f>
        <v>66918.539999999994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1218726.1300000001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1478188.62</v>
      </c>
      <c r="D120" s="24" t="s">
        <v>289</v>
      </c>
      <c r="E120" s="95">
        <f>+('DOE25'!L283)+('DOE25'!L302)+('DOE25'!L321)</f>
        <v>2886.31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2457660.15</v>
      </c>
      <c r="D122" s="24" t="s">
        <v>289</v>
      </c>
      <c r="E122" s="95">
        <f>+('DOE25'!L285)+('DOE25'!L304)+('DOE25'!L323)</f>
        <v>64772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786378.76</v>
      </c>
      <c r="D123" s="24" t="s">
        <v>289</v>
      </c>
      <c r="E123" s="95">
        <f>+('DOE25'!L286)+('DOE25'!L305)+('DOE25'!L324)</f>
        <v>5304.4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603431.26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9166189.4299999997</v>
      </c>
      <c r="D127" s="86">
        <f>SUM(D117:D126)</f>
        <v>603431.26</v>
      </c>
      <c r="E127" s="86">
        <f>SUM(E117:E126)</f>
        <v>150996.22999999998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1030011.06</v>
      </c>
      <c r="D129" s="24" t="s">
        <v>289</v>
      </c>
      <c r="E129" s="129">
        <f>'DOE25'!L335</f>
        <v>0</v>
      </c>
      <c r="F129" s="129">
        <f>SUM('DOE25'!L373:'DOE25'!L379)</f>
        <v>14024070.610000001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623550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588663.82999999996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316998.96999999997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100079.16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-1778.1300000000047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2657524.8900000006</v>
      </c>
      <c r="D143" s="141">
        <f>SUM(D129:D142)</f>
        <v>0</v>
      </c>
      <c r="E143" s="141">
        <f>SUM(E129:E142)</f>
        <v>0</v>
      </c>
      <c r="F143" s="141">
        <f>SUM(F129:F142)</f>
        <v>14024070.610000001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32127720.460000001</v>
      </c>
      <c r="D144" s="86">
        <f>(D114+D127+D143)</f>
        <v>603431.26</v>
      </c>
      <c r="E144" s="86">
        <f>(E114+E127+E143)</f>
        <v>1286966.1399999999</v>
      </c>
      <c r="F144" s="86">
        <f>(F114+F127+F143)</f>
        <v>14024070.610000001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5</v>
      </c>
      <c r="D150" s="153">
        <f>'DOE25'!H489</f>
        <v>5</v>
      </c>
      <c r="E150" s="153">
        <f>'DOE25'!I489</f>
        <v>20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07/03</v>
      </c>
      <c r="C151" s="152" t="str">
        <f>'DOE25'!G490</f>
        <v>12/07</v>
      </c>
      <c r="D151" s="152" t="str">
        <f>'DOE25'!H490</f>
        <v>12/10</v>
      </c>
      <c r="E151" s="152" t="str">
        <f>'DOE25'!I490</f>
        <v>12/11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07/12</v>
      </c>
      <c r="C152" s="152" t="str">
        <f>'DOE25'!G491</f>
        <v>01/13</v>
      </c>
      <c r="D152" s="152" t="str">
        <f>'DOE25'!H491</f>
        <v>01/16</v>
      </c>
      <c r="E152" s="152" t="str">
        <f>'DOE25'!I491</f>
        <v>01/32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4900000</v>
      </c>
      <c r="C153" s="137">
        <f>'DOE25'!G492</f>
        <v>739000</v>
      </c>
      <c r="D153" s="137">
        <f>'DOE25'!H492</f>
        <v>678550</v>
      </c>
      <c r="E153" s="137">
        <f>'DOE25'!I492</f>
        <v>23650600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 t="str">
        <f>'DOE25'!F493</f>
        <v>Various</v>
      </c>
      <c r="C154" s="137" t="str">
        <f>'DOE25'!G493</f>
        <v>Various</v>
      </c>
      <c r="D154" s="137">
        <f>'DOE25'!H493</f>
        <v>2.23</v>
      </c>
      <c r="E154" s="137" t="str">
        <f>'DOE25'!I493</f>
        <v>Various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680000</v>
      </c>
      <c r="C155" s="137">
        <f>'DOE25'!G494</f>
        <v>290000</v>
      </c>
      <c r="D155" s="137">
        <f>'DOE25'!H494</f>
        <v>678550</v>
      </c>
      <c r="E155" s="137">
        <f>'DOE25'!I494</f>
        <v>0</v>
      </c>
      <c r="F155" s="137">
        <f>'DOE25'!J494</f>
        <v>0</v>
      </c>
      <c r="G155" s="138">
        <f>SUM(B155:F155)</f>
        <v>1648550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23650600</v>
      </c>
      <c r="F156" s="137">
        <f>'DOE25'!J495</f>
        <v>0</v>
      </c>
      <c r="G156" s="138">
        <f t="shared" ref="G156:G163" si="0">SUM(B156:F156)</f>
        <v>23650600</v>
      </c>
    </row>
    <row r="157" spans="1:9" x14ac:dyDescent="0.2">
      <c r="A157" s="22" t="s">
        <v>34</v>
      </c>
      <c r="B157" s="137">
        <f>'DOE25'!F496</f>
        <v>340000</v>
      </c>
      <c r="C157" s="137">
        <f>'DOE25'!G496</f>
        <v>145000</v>
      </c>
      <c r="D157" s="137">
        <f>'DOE25'!H496</f>
        <v>138550</v>
      </c>
      <c r="E157" s="137">
        <f>'DOE25'!I496</f>
        <v>0</v>
      </c>
      <c r="F157" s="137">
        <f>'DOE25'!J496</f>
        <v>0</v>
      </c>
      <c r="G157" s="138">
        <f t="shared" si="0"/>
        <v>623550</v>
      </c>
    </row>
    <row r="158" spans="1:9" x14ac:dyDescent="0.2">
      <c r="A158" s="22" t="s">
        <v>35</v>
      </c>
      <c r="B158" s="137">
        <f>'DOE25'!F497</f>
        <v>340000</v>
      </c>
      <c r="C158" s="137">
        <f>'DOE25'!G497</f>
        <v>145000</v>
      </c>
      <c r="D158" s="137">
        <f>'DOE25'!H497</f>
        <v>540000</v>
      </c>
      <c r="E158" s="137">
        <f>'DOE25'!I497</f>
        <v>23650600</v>
      </c>
      <c r="F158" s="137">
        <f>'DOE25'!J497</f>
        <v>0</v>
      </c>
      <c r="G158" s="138">
        <f t="shared" si="0"/>
        <v>24675600</v>
      </c>
    </row>
    <row r="159" spans="1:9" x14ac:dyDescent="0.2">
      <c r="A159" s="22" t="s">
        <v>36</v>
      </c>
      <c r="B159" s="137">
        <f>'DOE25'!F498</f>
        <v>6800</v>
      </c>
      <c r="C159" s="137">
        <f>'DOE25'!G498</f>
        <v>7612.5</v>
      </c>
      <c r="D159" s="137">
        <f>'DOE25'!H498</f>
        <v>49950</v>
      </c>
      <c r="E159" s="137">
        <f>'DOE25'!I498</f>
        <v>9974261.1699999999</v>
      </c>
      <c r="F159" s="137">
        <f>'DOE25'!J498</f>
        <v>0</v>
      </c>
      <c r="G159" s="138">
        <f t="shared" si="0"/>
        <v>10038623.67</v>
      </c>
    </row>
    <row r="160" spans="1:9" x14ac:dyDescent="0.2">
      <c r="A160" s="22" t="s">
        <v>37</v>
      </c>
      <c r="B160" s="137">
        <f>'DOE25'!F499</f>
        <v>346800</v>
      </c>
      <c r="C160" s="137">
        <f>'DOE25'!G499</f>
        <v>152612.5</v>
      </c>
      <c r="D160" s="137">
        <f>'DOE25'!H499</f>
        <v>589950</v>
      </c>
      <c r="E160" s="137">
        <f>'DOE25'!I499</f>
        <v>33624861.170000002</v>
      </c>
      <c r="F160" s="137">
        <f>'DOE25'!J499</f>
        <v>0</v>
      </c>
      <c r="G160" s="138">
        <f t="shared" si="0"/>
        <v>34714223.670000002</v>
      </c>
    </row>
    <row r="161" spans="1:7" x14ac:dyDescent="0.2">
      <c r="A161" s="22" t="s">
        <v>38</v>
      </c>
      <c r="B161" s="137">
        <f>'DOE25'!F500</f>
        <v>340000</v>
      </c>
      <c r="C161" s="137">
        <f>'DOE25'!G500</f>
        <v>145000</v>
      </c>
      <c r="D161" s="137">
        <f>'DOE25'!H500</f>
        <v>135000</v>
      </c>
      <c r="E161" s="137">
        <f>'DOE25'!I500</f>
        <v>1180600</v>
      </c>
      <c r="F161" s="137">
        <f>'DOE25'!J500</f>
        <v>0</v>
      </c>
      <c r="G161" s="138">
        <f t="shared" si="0"/>
        <v>1800600</v>
      </c>
    </row>
    <row r="162" spans="1:7" x14ac:dyDescent="0.2">
      <c r="A162" s="22" t="s">
        <v>39</v>
      </c>
      <c r="B162" s="137">
        <f>'DOE25'!F501</f>
        <v>6800</v>
      </c>
      <c r="C162" s="137">
        <f>'DOE25'!G501</f>
        <v>7612.5</v>
      </c>
      <c r="D162" s="137">
        <f>'DOE25'!H501</f>
        <v>18900</v>
      </c>
      <c r="E162" s="137">
        <f>'DOE25'!I501</f>
        <v>1021711.17</v>
      </c>
      <c r="F162" s="137">
        <f>'DOE25'!J501</f>
        <v>0</v>
      </c>
      <c r="G162" s="138">
        <f t="shared" si="0"/>
        <v>1055023.67</v>
      </c>
    </row>
    <row r="163" spans="1:7" x14ac:dyDescent="0.2">
      <c r="A163" s="22" t="s">
        <v>246</v>
      </c>
      <c r="B163" s="137">
        <f>'DOE25'!F502</f>
        <v>346800</v>
      </c>
      <c r="C163" s="137">
        <f>'DOE25'!G502</f>
        <v>152612.5</v>
      </c>
      <c r="D163" s="137">
        <f>'DOE25'!H502</f>
        <v>153900</v>
      </c>
      <c r="E163" s="137">
        <f>'DOE25'!I502</f>
        <v>2202311.17</v>
      </c>
      <c r="F163" s="137">
        <f>'DOE25'!J502</f>
        <v>0</v>
      </c>
      <c r="G163" s="138">
        <f t="shared" si="0"/>
        <v>2855623.67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Lebanon SD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18714</v>
      </c>
    </row>
    <row r="5" spans="1:4" x14ac:dyDescent="0.2">
      <c r="B5" t="s">
        <v>704</v>
      </c>
      <c r="C5" s="179">
        <f>IF('DOE25'!G664+'DOE25'!G669=0,0,ROUND('DOE25'!G671,0))</f>
        <v>17844</v>
      </c>
    </row>
    <row r="6" spans="1:4" x14ac:dyDescent="0.2">
      <c r="B6" t="s">
        <v>62</v>
      </c>
      <c r="C6" s="179">
        <f>IF('DOE25'!H664+'DOE25'!H669=0,0,ROUND('DOE25'!H671,0))</f>
        <v>15384</v>
      </c>
    </row>
    <row r="7" spans="1:4" x14ac:dyDescent="0.2">
      <c r="B7" t="s">
        <v>705</v>
      </c>
      <c r="C7" s="179">
        <f>IF('DOE25'!I664+'DOE25'!I669=0,0,ROUND('DOE25'!I671,0))</f>
        <v>17188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13175681</v>
      </c>
      <c r="D10" s="182">
        <f>ROUND((C10/$C$28)*100,1)</f>
        <v>41.7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7115823</v>
      </c>
      <c r="D11" s="182">
        <f>ROUND((C11/$C$28)*100,1)</f>
        <v>22.5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387951</v>
      </c>
      <c r="D12" s="182">
        <f>ROUND((C12/$C$28)*100,1)</f>
        <v>1.2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677548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1424422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1878848</v>
      </c>
      <c r="D16" s="182">
        <f t="shared" si="0"/>
        <v>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1218726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1481075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2522432</v>
      </c>
      <c r="D20" s="182">
        <f t="shared" si="0"/>
        <v>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791683</v>
      </c>
      <c r="D21" s="182">
        <f t="shared" si="0"/>
        <v>2.5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82973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ROUND('DOE25'!L260+'DOE25'!L341,0)</f>
        <v>588664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218164.84999999998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31563990.850000001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15054082</v>
      </c>
    </row>
    <row r="30" spans="1:4" x14ac:dyDescent="0.2">
      <c r="B30" s="187" t="s">
        <v>729</v>
      </c>
      <c r="C30" s="180">
        <f>SUM(C28:C29)</f>
        <v>46618072.850000001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623550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20738983</v>
      </c>
      <c r="D35" s="182">
        <f t="shared" ref="D35:D40" si="1">ROUND((C35/$C$41)*100,1)</f>
        <v>57.5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5661752.4199999943</v>
      </c>
      <c r="D36" s="182">
        <f t="shared" si="1"/>
        <v>15.7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6885788</v>
      </c>
      <c r="D37" s="182">
        <f t="shared" si="1"/>
        <v>19.100000000000001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961845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1801250</v>
      </c>
      <c r="D39" s="182">
        <f t="shared" si="1"/>
        <v>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36049618.419999994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23650600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Lebanon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8"/>
      <c r="AB29" s="208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8"/>
      <c r="AO29" s="208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8"/>
      <c r="BB29" s="208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8"/>
      <c r="BO29" s="208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8"/>
      <c r="CB29" s="208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8"/>
      <c r="CO29" s="208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8"/>
      <c r="DB29" s="208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8"/>
      <c r="DO29" s="208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8"/>
      <c r="EB29" s="208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8"/>
      <c r="EO29" s="208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8"/>
      <c r="FB29" s="208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8"/>
      <c r="FO29" s="208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8"/>
      <c r="GB29" s="208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8"/>
      <c r="GO29" s="208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8"/>
      <c r="HB29" s="208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8"/>
      <c r="HO29" s="208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8"/>
      <c r="IB29" s="208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8"/>
      <c r="IO29" s="208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8"/>
      <c r="AB30" s="208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8"/>
      <c r="AO30" s="208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8"/>
      <c r="BB30" s="208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8"/>
      <c r="BO30" s="208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8"/>
      <c r="CB30" s="208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8"/>
      <c r="CO30" s="208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8"/>
      <c r="DB30" s="208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8"/>
      <c r="DO30" s="208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8"/>
      <c r="EB30" s="208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8"/>
      <c r="EO30" s="208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8"/>
      <c r="FB30" s="208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8"/>
      <c r="FO30" s="208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8"/>
      <c r="GB30" s="208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8"/>
      <c r="GO30" s="208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8"/>
      <c r="HB30" s="208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8"/>
      <c r="HO30" s="208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8"/>
      <c r="IB30" s="208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8"/>
      <c r="IO30" s="208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8"/>
      <c r="AB31" s="208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8"/>
      <c r="AO31" s="208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8"/>
      <c r="BB31" s="208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8"/>
      <c r="BO31" s="208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8"/>
      <c r="CB31" s="208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8"/>
      <c r="CO31" s="208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8"/>
      <c r="DB31" s="208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8"/>
      <c r="DO31" s="208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8"/>
      <c r="EB31" s="208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8"/>
      <c r="EO31" s="208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8"/>
      <c r="FB31" s="208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8"/>
      <c r="FO31" s="208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8"/>
      <c r="GB31" s="208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8"/>
      <c r="GO31" s="208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8"/>
      <c r="HB31" s="208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8"/>
      <c r="HO31" s="208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8"/>
      <c r="IB31" s="208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8"/>
      <c r="IO31" s="208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8"/>
      <c r="AB38" s="208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8"/>
      <c r="AO38" s="208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8"/>
      <c r="BB38" s="208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8"/>
      <c r="BO38" s="208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8"/>
      <c r="CB38" s="208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8"/>
      <c r="CO38" s="208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8"/>
      <c r="DB38" s="208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8"/>
      <c r="DO38" s="208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8"/>
      <c r="EB38" s="208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8"/>
      <c r="EO38" s="208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8"/>
      <c r="FB38" s="208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8"/>
      <c r="FO38" s="208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8"/>
      <c r="GB38" s="208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8"/>
      <c r="GO38" s="208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8"/>
      <c r="HB38" s="208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8"/>
      <c r="HO38" s="208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8"/>
      <c r="IB38" s="208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8"/>
      <c r="IO38" s="208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8"/>
      <c r="AB39" s="208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8"/>
      <c r="AO39" s="208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8"/>
      <c r="BB39" s="208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8"/>
      <c r="BO39" s="208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8"/>
      <c r="CB39" s="208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8"/>
      <c r="CO39" s="208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8"/>
      <c r="DB39" s="208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8"/>
      <c r="DO39" s="208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8"/>
      <c r="EB39" s="208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8"/>
      <c r="EO39" s="208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8"/>
      <c r="FB39" s="208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8"/>
      <c r="FO39" s="208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8"/>
      <c r="GB39" s="208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8"/>
      <c r="GO39" s="208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8"/>
      <c r="HB39" s="208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8"/>
      <c r="HO39" s="208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8"/>
      <c r="IB39" s="208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8"/>
      <c r="IO39" s="208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8"/>
      <c r="AB40" s="208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8"/>
      <c r="AO40" s="208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8"/>
      <c r="BB40" s="208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8"/>
      <c r="BO40" s="208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8"/>
      <c r="CB40" s="208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8"/>
      <c r="CO40" s="208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8"/>
      <c r="DB40" s="208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8"/>
      <c r="DO40" s="208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8"/>
      <c r="EB40" s="208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8"/>
      <c r="EO40" s="208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8"/>
      <c r="FB40" s="208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8"/>
      <c r="FO40" s="208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8"/>
      <c r="GB40" s="208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8"/>
      <c r="GO40" s="208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8"/>
      <c r="HB40" s="208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8"/>
      <c r="HO40" s="208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8"/>
      <c r="IB40" s="208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8"/>
      <c r="IO40" s="208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FC40:FM40"/>
    <mergeCell ref="FP40:FZ40"/>
    <mergeCell ref="CC40:CM40"/>
    <mergeCell ref="CP40:CZ40"/>
    <mergeCell ref="C46:M46"/>
    <mergeCell ref="GC40:GM40"/>
    <mergeCell ref="GP40:GZ40"/>
    <mergeCell ref="HC40:HM40"/>
    <mergeCell ref="C45:M45"/>
    <mergeCell ref="DC40:DM40"/>
    <mergeCell ref="DP40:DZ40"/>
    <mergeCell ref="C40:M40"/>
    <mergeCell ref="P40:Z40"/>
    <mergeCell ref="AC40:AM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IC40:IM40"/>
    <mergeCell ref="IP40:IV4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HP40:HZ40"/>
    <mergeCell ref="EC40:EM40"/>
    <mergeCell ref="BC40:BM40"/>
    <mergeCell ref="BP40:BZ40"/>
    <mergeCell ref="AP31:AZ31"/>
    <mergeCell ref="P32:Z32"/>
    <mergeCell ref="IP29:IV29"/>
    <mergeCell ref="P30:Z30"/>
    <mergeCell ref="AC30:AM30"/>
    <mergeCell ref="AP30:AZ30"/>
    <mergeCell ref="CC30:CM30"/>
    <mergeCell ref="CP30:CZ30"/>
    <mergeCell ref="DC30:DM30"/>
    <mergeCell ref="DP30:DZ30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CP29:CZ29"/>
    <mergeCell ref="DC29:DM29"/>
    <mergeCell ref="DP29:DZ29"/>
    <mergeCell ref="EC29:EM29"/>
    <mergeCell ref="BP29:BZ29"/>
    <mergeCell ref="CC29:CM29"/>
    <mergeCell ref="GC30:GM30"/>
    <mergeCell ref="GP30:GZ30"/>
    <mergeCell ref="EC30:EM30"/>
    <mergeCell ref="EP30:EZ30"/>
    <mergeCell ref="FC30:FM30"/>
    <mergeCell ref="FP30:FZ30"/>
    <mergeCell ref="BC30:BM30"/>
    <mergeCell ref="BP30:BZ30"/>
    <mergeCell ref="EP32:EZ32"/>
    <mergeCell ref="DC31:DM31"/>
    <mergeCell ref="FP31:FZ31"/>
    <mergeCell ref="GC31:GM31"/>
    <mergeCell ref="GP31:GZ31"/>
    <mergeCell ref="DP31:DZ31"/>
    <mergeCell ref="EC31:EM31"/>
    <mergeCell ref="EP31:EZ31"/>
    <mergeCell ref="FC31:FM31"/>
    <mergeCell ref="IC30:IM30"/>
    <mergeCell ref="DC38:DM38"/>
    <mergeCell ref="DP38:DZ38"/>
    <mergeCell ref="EC38:EM38"/>
    <mergeCell ref="EP38:EZ38"/>
    <mergeCell ref="FC38:FM38"/>
    <mergeCell ref="FP38:FZ38"/>
    <mergeCell ref="HP29:HZ29"/>
    <mergeCell ref="IC29:IM29"/>
    <mergeCell ref="EP29:EZ29"/>
    <mergeCell ref="FC29:FM29"/>
    <mergeCell ref="FP29:FZ29"/>
    <mergeCell ref="GC29:GM29"/>
    <mergeCell ref="DC32:DM32"/>
    <mergeCell ref="DP32:DZ32"/>
    <mergeCell ref="EC32:EM32"/>
    <mergeCell ref="GP38:GZ38"/>
    <mergeCell ref="GP29:GZ29"/>
    <mergeCell ref="HC29:HM29"/>
    <mergeCell ref="HC30:HM30"/>
    <mergeCell ref="HP30:HZ30"/>
    <mergeCell ref="HC32:HM32"/>
    <mergeCell ref="HC31:HM31"/>
    <mergeCell ref="HC38:HM38"/>
    <mergeCell ref="HP38:HZ38"/>
    <mergeCell ref="IC38:IM38"/>
    <mergeCell ref="FP32:FZ32"/>
    <mergeCell ref="GC32:GM32"/>
    <mergeCell ref="GC38:GM38"/>
    <mergeCell ref="GP32:GZ32"/>
    <mergeCell ref="C33:M33"/>
    <mergeCell ref="C37:M37"/>
    <mergeCell ref="C38:M38"/>
    <mergeCell ref="BP38:BZ38"/>
    <mergeCell ref="CC38:CM38"/>
    <mergeCell ref="CC32:CM32"/>
    <mergeCell ref="CP38:CZ38"/>
    <mergeCell ref="C32:M32"/>
    <mergeCell ref="C34:M34"/>
    <mergeCell ref="C35:M35"/>
    <mergeCell ref="C36:M36"/>
    <mergeCell ref="BP32:BZ32"/>
    <mergeCell ref="P38:Z38"/>
    <mergeCell ref="AC38:AM38"/>
    <mergeCell ref="AP38:AZ38"/>
    <mergeCell ref="BC38:BM38"/>
    <mergeCell ref="AC32:AM32"/>
    <mergeCell ref="AP32:AZ32"/>
    <mergeCell ref="C5:M5"/>
    <mergeCell ref="C6:M6"/>
    <mergeCell ref="C7:M7"/>
    <mergeCell ref="C8:M8"/>
    <mergeCell ref="C9:M9"/>
    <mergeCell ref="C10:M10"/>
    <mergeCell ref="C13:M13"/>
    <mergeCell ref="A1:I1"/>
    <mergeCell ref="C3:M3"/>
    <mergeCell ref="C4:M4"/>
    <mergeCell ref="F2:I2"/>
    <mergeCell ref="A2:E2"/>
    <mergeCell ref="C16:M16"/>
    <mergeCell ref="C17:M17"/>
    <mergeCell ref="BC29:BM29"/>
    <mergeCell ref="C11:M11"/>
    <mergeCell ref="C12:M12"/>
    <mergeCell ref="C20:M20"/>
    <mergeCell ref="C25:M25"/>
    <mergeCell ref="C18:M18"/>
    <mergeCell ref="C19:M19"/>
    <mergeCell ref="C26:M26"/>
    <mergeCell ref="C14:M14"/>
    <mergeCell ref="C15:M15"/>
    <mergeCell ref="P29:Z29"/>
    <mergeCell ref="AC29:AM29"/>
    <mergeCell ref="AP29:AZ29"/>
    <mergeCell ref="C30:M30"/>
    <mergeCell ref="C31:M31"/>
    <mergeCell ref="P31:Z31"/>
    <mergeCell ref="AC31:AM31"/>
    <mergeCell ref="C29:M29"/>
    <mergeCell ref="C21:M21"/>
    <mergeCell ref="C22:M22"/>
    <mergeCell ref="C23:M23"/>
    <mergeCell ref="C24:M24"/>
    <mergeCell ref="C28:M28"/>
    <mergeCell ref="C27:M27"/>
    <mergeCell ref="C39:M39"/>
    <mergeCell ref="C42:M42"/>
    <mergeCell ref="C41:M41"/>
    <mergeCell ref="C44:M44"/>
    <mergeCell ref="C43:M43"/>
    <mergeCell ref="C50:M50"/>
    <mergeCell ref="C47:M47"/>
    <mergeCell ref="C48:M48"/>
    <mergeCell ref="C49:M49"/>
    <mergeCell ref="C51:M51"/>
    <mergeCell ref="C82:M82"/>
    <mergeCell ref="C66:M66"/>
    <mergeCell ref="C67:M67"/>
    <mergeCell ref="C75:M75"/>
    <mergeCell ref="C76:M76"/>
    <mergeCell ref="C79:M79"/>
    <mergeCell ref="C80:M80"/>
    <mergeCell ref="C68:M68"/>
    <mergeCell ref="C69:M69"/>
    <mergeCell ref="C77:M77"/>
    <mergeCell ref="C65:M65"/>
    <mergeCell ref="C70:M70"/>
    <mergeCell ref="A72:E72"/>
    <mergeCell ref="C81:M81"/>
    <mergeCell ref="C78:M78"/>
    <mergeCell ref="C73:M73"/>
    <mergeCell ref="C74:M74"/>
    <mergeCell ref="C64:M64"/>
    <mergeCell ref="C62:M62"/>
    <mergeCell ref="C61:M61"/>
    <mergeCell ref="C53:M53"/>
    <mergeCell ref="C54:M54"/>
    <mergeCell ref="C55:M55"/>
    <mergeCell ref="C89:M89"/>
    <mergeCell ref="C90:M90"/>
    <mergeCell ref="C87:M87"/>
    <mergeCell ref="C88:M88"/>
    <mergeCell ref="C83:M83"/>
    <mergeCell ref="C84:M84"/>
    <mergeCell ref="C85:M85"/>
    <mergeCell ref="C86:M86"/>
    <mergeCell ref="C52:M52"/>
    <mergeCell ref="C63:M63"/>
    <mergeCell ref="C56:M56"/>
    <mergeCell ref="C57:M57"/>
    <mergeCell ref="C59:M59"/>
    <mergeCell ref="C58:M58"/>
    <mergeCell ref="C60:M6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2012-08-17T19:37:26Z</cp:lastPrinted>
  <dcterms:created xsi:type="dcterms:W3CDTF">1997-12-04T19:04:30Z</dcterms:created>
  <dcterms:modified xsi:type="dcterms:W3CDTF">2012-11-21T14:52:19Z</dcterms:modified>
</cp:coreProperties>
</file>