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44" i="1"/>
  <c r="I48" i="1"/>
  <c r="F48" i="1"/>
  <c r="F22" i="1"/>
  <c r="F12" i="1"/>
  <c r="H22" i="1"/>
  <c r="H12" i="1"/>
  <c r="H48" i="1"/>
  <c r="G237" i="1"/>
  <c r="G233" i="1"/>
  <c r="G219" i="1"/>
  <c r="G201" i="1"/>
  <c r="B37" i="12"/>
  <c r="C19" i="12"/>
  <c r="I278" i="1"/>
  <c r="F278" i="1"/>
  <c r="F471" i="1"/>
  <c r="F237" i="1"/>
  <c r="F219" i="1"/>
  <c r="F201" i="1"/>
  <c r="H45" i="1"/>
  <c r="F467" i="1"/>
  <c r="K259" i="1"/>
  <c r="I603" i="1"/>
  <c r="H603" i="1"/>
  <c r="J603" i="1"/>
  <c r="D11" i="13"/>
  <c r="C20" i="12"/>
  <c r="B19" i="12"/>
  <c r="B20" i="12"/>
  <c r="B21" i="12"/>
  <c r="F501" i="1"/>
  <c r="F500" i="1"/>
  <c r="F497" i="1"/>
  <c r="J592" i="1"/>
  <c r="H467" i="1"/>
  <c r="H101" i="1"/>
  <c r="H154" i="1"/>
  <c r="D9" i="13"/>
  <c r="C10" i="12"/>
  <c r="C39" i="12"/>
  <c r="C37" i="12"/>
  <c r="B39" i="12"/>
  <c r="C28" i="12"/>
  <c r="B10" i="12"/>
  <c r="B12" i="12"/>
  <c r="F610" i="1"/>
  <c r="H612" i="1"/>
  <c r="G612" i="1"/>
  <c r="F612" i="1"/>
  <c r="G611" i="1"/>
  <c r="F611" i="1"/>
  <c r="H610" i="1"/>
  <c r="G610" i="1"/>
  <c r="J594" i="1"/>
  <c r="H594" i="1"/>
  <c r="J593" i="1"/>
  <c r="I593" i="1"/>
  <c r="I591" i="1"/>
  <c r="H591" i="1"/>
  <c r="J590" i="1"/>
  <c r="I590" i="1"/>
  <c r="H590" i="1"/>
  <c r="H583" i="1"/>
  <c r="H582" i="1"/>
  <c r="H581" i="1"/>
  <c r="H578" i="1"/>
  <c r="G578" i="1"/>
  <c r="F582" i="1"/>
  <c r="F581" i="1"/>
  <c r="F578" i="1"/>
  <c r="H233" i="1"/>
  <c r="K567" i="1"/>
  <c r="K566" i="1"/>
  <c r="H367" i="1"/>
  <c r="G367" i="1"/>
  <c r="F367" i="1"/>
  <c r="H357" i="1"/>
  <c r="I359" i="1"/>
  <c r="H359" i="1"/>
  <c r="I358" i="1"/>
  <c r="H358" i="1"/>
  <c r="I357" i="1"/>
  <c r="F276" i="1"/>
  <c r="F294" i="1"/>
  <c r="H318" i="1"/>
  <c r="H324" i="1"/>
  <c r="I318" i="1"/>
  <c r="H280" i="1"/>
  <c r="K313" i="1"/>
  <c r="J294" i="1"/>
  <c r="J275" i="1"/>
  <c r="I275" i="1"/>
  <c r="I314" i="1"/>
  <c r="H314" i="1"/>
  <c r="G314" i="1"/>
  <c r="F314" i="1"/>
  <c r="I295" i="1"/>
  <c r="H295" i="1"/>
  <c r="G295" i="1"/>
  <c r="F295" i="1"/>
  <c r="J276" i="1"/>
  <c r="I276" i="1"/>
  <c r="H276" i="1"/>
  <c r="G276" i="1"/>
  <c r="G294" i="1"/>
  <c r="G275" i="1"/>
  <c r="F275" i="1"/>
  <c r="H323" i="1"/>
  <c r="F319" i="1"/>
  <c r="H281" i="1"/>
  <c r="I319" i="1"/>
  <c r="H319" i="1"/>
  <c r="H300" i="1"/>
  <c r="F281" i="1"/>
  <c r="F318" i="1"/>
  <c r="I294" i="1"/>
  <c r="H239" i="1"/>
  <c r="H221" i="1"/>
  <c r="H203" i="1"/>
  <c r="H238" i="1"/>
  <c r="H220" i="1"/>
  <c r="H202" i="1"/>
  <c r="H201" i="1"/>
  <c r="J197" i="1"/>
  <c r="J232" i="1"/>
  <c r="H232" i="1"/>
  <c r="I214" i="1"/>
  <c r="I196" i="1"/>
  <c r="H196" i="1"/>
  <c r="K262" i="1"/>
  <c r="H244" i="1"/>
  <c r="H226" i="1"/>
  <c r="H208" i="1"/>
  <c r="H243" i="1"/>
  <c r="G243" i="1"/>
  <c r="F243" i="1"/>
  <c r="H225" i="1"/>
  <c r="H207" i="1"/>
  <c r="J243" i="1"/>
  <c r="I243" i="1"/>
  <c r="I225" i="1"/>
  <c r="G225" i="1"/>
  <c r="F225" i="1"/>
  <c r="G207" i="1"/>
  <c r="F207" i="1"/>
  <c r="I207" i="1"/>
  <c r="H242" i="1"/>
  <c r="H224" i="1"/>
  <c r="H206" i="1"/>
  <c r="I242" i="1"/>
  <c r="I224" i="1"/>
  <c r="I206" i="1"/>
  <c r="G242" i="1"/>
  <c r="K242" i="1"/>
  <c r="F242" i="1"/>
  <c r="K224" i="1"/>
  <c r="G224" i="1"/>
  <c r="F224" i="1"/>
  <c r="K206" i="1"/>
  <c r="G206" i="1"/>
  <c r="F206" i="1"/>
  <c r="G240" i="1"/>
  <c r="I240" i="1"/>
  <c r="H240" i="1"/>
  <c r="I222" i="1"/>
  <c r="K240" i="1"/>
  <c r="F240" i="1"/>
  <c r="K222" i="1"/>
  <c r="H222" i="1"/>
  <c r="G222" i="1"/>
  <c r="F222" i="1"/>
  <c r="K204" i="1"/>
  <c r="J204" i="1"/>
  <c r="I204" i="1"/>
  <c r="H204" i="1"/>
  <c r="G204" i="1"/>
  <c r="F204" i="1"/>
  <c r="K239" i="1"/>
  <c r="I239" i="1"/>
  <c r="G239" i="1"/>
  <c r="F239" i="1"/>
  <c r="K221" i="1"/>
  <c r="I221" i="1"/>
  <c r="G221" i="1"/>
  <c r="F221" i="1"/>
  <c r="K203" i="1"/>
  <c r="I203" i="1"/>
  <c r="G203" i="1"/>
  <c r="F203" i="1"/>
  <c r="I238" i="1"/>
  <c r="I220" i="1"/>
  <c r="I202" i="1"/>
  <c r="J202" i="1"/>
  <c r="G238" i="1"/>
  <c r="F238" i="1"/>
  <c r="G220" i="1"/>
  <c r="F220" i="1"/>
  <c r="G202" i="1"/>
  <c r="F202" i="1"/>
  <c r="H237" i="1"/>
  <c r="H219" i="1"/>
  <c r="K201" i="1"/>
  <c r="I201" i="1"/>
  <c r="I237" i="1"/>
  <c r="I219" i="1"/>
  <c r="H214" i="1"/>
  <c r="K237" i="1"/>
  <c r="G217" i="1"/>
  <c r="F217" i="1"/>
  <c r="I235" i="1"/>
  <c r="G235" i="1"/>
  <c r="F235" i="1"/>
  <c r="I199" i="1"/>
  <c r="G199" i="1"/>
  <c r="F199" i="1"/>
  <c r="K235" i="1"/>
  <c r="H235" i="1"/>
  <c r="K217" i="1"/>
  <c r="I217" i="1"/>
  <c r="H217" i="1"/>
  <c r="I234" i="1"/>
  <c r="G234" i="1"/>
  <c r="F234" i="1"/>
  <c r="H234" i="1"/>
  <c r="J233" i="1"/>
  <c r="I233" i="1"/>
  <c r="K197" i="1"/>
  <c r="F233" i="1"/>
  <c r="G215" i="1"/>
  <c r="F215" i="1"/>
  <c r="G197" i="1"/>
  <c r="F197" i="1"/>
  <c r="J215" i="1"/>
  <c r="I215" i="1"/>
  <c r="H215" i="1"/>
  <c r="I197" i="1"/>
  <c r="H197" i="1"/>
  <c r="I232" i="1"/>
  <c r="K232" i="1"/>
  <c r="G232" i="1"/>
  <c r="F232" i="1"/>
  <c r="K214" i="1"/>
  <c r="J214" i="1"/>
  <c r="G214" i="1"/>
  <c r="F214" i="1"/>
  <c r="K196" i="1"/>
  <c r="J196" i="1"/>
  <c r="G196" i="1"/>
  <c r="F196" i="1"/>
  <c r="H145" i="1"/>
  <c r="H158" i="1"/>
  <c r="H153" i="1"/>
  <c r="G458" i="1"/>
  <c r="J425" i="1"/>
  <c r="H421" i="1"/>
  <c r="H399" i="1"/>
  <c r="G399" i="1"/>
  <c r="G178" i="1"/>
  <c r="G157" i="1"/>
  <c r="G131" i="1"/>
  <c r="G96" i="1"/>
  <c r="H13" i="1"/>
  <c r="F134" i="1"/>
  <c r="F118" i="1"/>
  <c r="F116" i="1"/>
  <c r="F109" i="1"/>
  <c r="F100" i="1"/>
  <c r="F97" i="1"/>
  <c r="F56" i="1"/>
  <c r="F28" i="1"/>
  <c r="F24" i="1"/>
  <c r="F9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I366" i="1"/>
  <c r="J289" i="1"/>
  <c r="J308" i="1"/>
  <c r="J327" i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E117" i="2" s="1"/>
  <c r="L319" i="1"/>
  <c r="L320" i="1"/>
  <c r="L321" i="1"/>
  <c r="L322" i="1"/>
  <c r="L323" i="1"/>
  <c r="L324" i="1"/>
  <c r="E123" i="2" s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E55" i="2" s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9" i="10"/>
  <c r="L249" i="1"/>
  <c r="L331" i="1"/>
  <c r="L253" i="1"/>
  <c r="C24" i="10" s="1"/>
  <c r="C25" i="10"/>
  <c r="L267" i="1"/>
  <c r="L268" i="1"/>
  <c r="L348" i="1"/>
  <c r="E141" i="2" s="1"/>
  <c r="L349" i="1"/>
  <c r="I664" i="1"/>
  <c r="I669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10" i="2"/>
  <c r="E110" i="2"/>
  <c r="C111" i="2"/>
  <c r="E111" i="2"/>
  <c r="C112" i="2"/>
  <c r="E112" i="2"/>
  <c r="C113" i="2"/>
  <c r="E113" i="2"/>
  <c r="D114" i="2"/>
  <c r="F114" i="2"/>
  <c r="G114" i="2"/>
  <c r="E119" i="2"/>
  <c r="E120" i="2"/>
  <c r="C121" i="2"/>
  <c r="E121" i="2"/>
  <c r="E122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9" i="1"/>
  <c r="J619" i="1" s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H640" i="1"/>
  <c r="G641" i="1"/>
  <c r="G642" i="1"/>
  <c r="G643" i="1"/>
  <c r="G644" i="1"/>
  <c r="H644" i="1"/>
  <c r="G649" i="1"/>
  <c r="G651" i="1"/>
  <c r="H651" i="1"/>
  <c r="J651" i="1" s="1"/>
  <c r="G652" i="1"/>
  <c r="H652" i="1"/>
  <c r="J652" i="1" s="1"/>
  <c r="G653" i="1"/>
  <c r="H653" i="1"/>
  <c r="J653" i="1" s="1"/>
  <c r="H654" i="1"/>
  <c r="J351" i="1"/>
  <c r="L255" i="1"/>
  <c r="G163" i="2"/>
  <c r="C18" i="2"/>
  <c r="F31" i="2"/>
  <c r="C26" i="10"/>
  <c r="L350" i="1"/>
  <c r="C69" i="2"/>
  <c r="A40" i="12"/>
  <c r="D12" i="13"/>
  <c r="C12" i="13" s="1"/>
  <c r="G8" i="2"/>
  <c r="G161" i="2"/>
  <c r="D61" i="2"/>
  <c r="D62" i="2" s="1"/>
  <c r="E49" i="2"/>
  <c r="D18" i="13"/>
  <c r="C18" i="13" s="1"/>
  <c r="F102" i="2"/>
  <c r="D18" i="2"/>
  <c r="E18" i="2"/>
  <c r="D17" i="13"/>
  <c r="C17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0" i="2"/>
  <c r="G155" i="2"/>
  <c r="G102" i="2"/>
  <c r="E102" i="2"/>
  <c r="C102" i="2"/>
  <c r="D90" i="2"/>
  <c r="F90" i="2"/>
  <c r="E61" i="2"/>
  <c r="E31" i="2"/>
  <c r="C31" i="2"/>
  <c r="G61" i="2"/>
  <c r="D19" i="13"/>
  <c r="C19" i="13" s="1"/>
  <c r="E13" i="13"/>
  <c r="C13" i="13" s="1"/>
  <c r="F433" i="1" l="1"/>
  <c r="I256" i="1"/>
  <c r="I270" i="1" s="1"/>
  <c r="C20" i="10"/>
  <c r="C15" i="10"/>
  <c r="J618" i="1"/>
  <c r="J616" i="1"/>
  <c r="F191" i="1"/>
  <c r="G162" i="2"/>
  <c r="G159" i="2"/>
  <c r="G157" i="2"/>
  <c r="C61" i="2"/>
  <c r="C62" i="2" s="1"/>
  <c r="E143" i="2"/>
  <c r="E62" i="2"/>
  <c r="G623" i="1"/>
  <c r="G621" i="1"/>
  <c r="G570" i="1"/>
  <c r="K502" i="1"/>
  <c r="H433" i="1"/>
  <c r="I433" i="1"/>
  <c r="G433" i="1"/>
  <c r="F270" i="1"/>
  <c r="I191" i="1"/>
  <c r="K433" i="1"/>
  <c r="G133" i="2" s="1"/>
  <c r="G143" i="2" s="1"/>
  <c r="A31" i="12"/>
  <c r="L613" i="1"/>
  <c r="I662" i="1"/>
  <c r="L533" i="1"/>
  <c r="L543" i="1"/>
  <c r="L538" i="1"/>
  <c r="F544" i="1"/>
  <c r="L523" i="1"/>
  <c r="F31" i="13"/>
  <c r="E109" i="2"/>
  <c r="C11" i="10"/>
  <c r="E114" i="2"/>
  <c r="L289" i="1"/>
  <c r="L327" i="1"/>
  <c r="H661" i="1"/>
  <c r="I337" i="1"/>
  <c r="I351" i="1" s="1"/>
  <c r="E118" i="2"/>
  <c r="C123" i="2"/>
  <c r="H646" i="1"/>
  <c r="G650" i="1"/>
  <c r="J650" i="1" s="1"/>
  <c r="J649" i="1"/>
  <c r="C21" i="10"/>
  <c r="D15" i="13"/>
  <c r="C15" i="13" s="1"/>
  <c r="G648" i="1"/>
  <c r="F661" i="1"/>
  <c r="I661" i="1" s="1"/>
  <c r="J648" i="1"/>
  <c r="C122" i="2"/>
  <c r="D14" i="13"/>
  <c r="C14" i="13" s="1"/>
  <c r="C18" i="10"/>
  <c r="C120" i="2"/>
  <c r="E8" i="13"/>
  <c r="C8" i="13" s="1"/>
  <c r="K256" i="1"/>
  <c r="K270" i="1" s="1"/>
  <c r="C17" i="10"/>
  <c r="C119" i="2"/>
  <c r="D7" i="13"/>
  <c r="C7" i="13" s="1"/>
  <c r="C16" i="10"/>
  <c r="L210" i="1"/>
  <c r="C118" i="2"/>
  <c r="F659" i="1"/>
  <c r="C117" i="2"/>
  <c r="D6" i="13"/>
  <c r="C6" i="13" s="1"/>
  <c r="L246" i="1"/>
  <c r="C109" i="2"/>
  <c r="A22" i="12"/>
  <c r="G256" i="1"/>
  <c r="G270" i="1" s="1"/>
  <c r="C10" i="10"/>
  <c r="C108" i="2"/>
  <c r="C114" i="2" s="1"/>
  <c r="L228" i="1"/>
  <c r="G33" i="13"/>
  <c r="J641" i="1"/>
  <c r="F139" i="1"/>
  <c r="D102" i="2"/>
  <c r="D50" i="2"/>
  <c r="G144" i="2"/>
  <c r="E90" i="2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D103" i="2" s="1"/>
  <c r="I168" i="1"/>
  <c r="H168" i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F192" i="1" s="1"/>
  <c r="G626" i="1" s="1"/>
  <c r="J626" i="1" s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C103" i="2"/>
  <c r="E103" i="2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H544" i="1"/>
  <c r="K550" i="1"/>
  <c r="F143" i="2"/>
  <c r="F144" i="2" s="1"/>
  <c r="J647" i="1" l="1"/>
  <c r="C127" i="2"/>
  <c r="L544" i="1"/>
  <c r="K551" i="1"/>
  <c r="E144" i="2"/>
  <c r="L256" i="1"/>
  <c r="L270" i="1" s="1"/>
  <c r="G631" i="1" s="1"/>
  <c r="J631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7" i="10"/>
  <c r="D35" i="10"/>
  <c r="D40" i="10"/>
  <c r="D36" i="10"/>
  <c r="D38" i="10"/>
  <c r="J625" i="1"/>
  <c r="D41" i="10" l="1"/>
  <c r="H361" i="1"/>
  <c r="L359" i="1"/>
  <c r="H660" i="1" s="1"/>
  <c r="L361" i="1" l="1"/>
  <c r="F660" i="1"/>
  <c r="G660" i="1"/>
  <c r="G663" i="1" s="1"/>
  <c r="H659" i="1"/>
  <c r="D126" i="2"/>
  <c r="D127" i="2" s="1"/>
  <c r="D144" i="2" s="1"/>
  <c r="D29" i="13"/>
  <c r="G671" i="1" l="1"/>
  <c r="C5" i="10" s="1"/>
  <c r="G666" i="1"/>
  <c r="C27" i="10"/>
  <c r="G634" i="1"/>
  <c r="D33" i="13"/>
  <c r="D36" i="13" s="1"/>
  <c r="C29" i="13"/>
  <c r="H663" i="1"/>
  <c r="I659" i="1"/>
  <c r="F663" i="1"/>
  <c r="I660" i="1"/>
  <c r="F666" i="1" l="1"/>
  <c r="F671" i="1"/>
  <c r="C4" i="10" s="1"/>
  <c r="H671" i="1"/>
  <c r="C6" i="10" s="1"/>
  <c r="H666" i="1"/>
  <c r="C28" i="10"/>
  <c r="D27" i="10" s="1"/>
  <c r="J634" i="1"/>
  <c r="H655" i="1"/>
  <c r="I663" i="1"/>
  <c r="I671" i="1" l="1"/>
  <c r="C7" i="10" s="1"/>
  <c r="I666" i="1"/>
  <c r="D16" i="10"/>
  <c r="D20" i="10"/>
  <c r="D25" i="10"/>
  <c r="D13" i="10"/>
  <c r="C30" i="10"/>
  <c r="D18" i="10"/>
  <c r="D21" i="10"/>
  <c r="D26" i="10"/>
  <c r="D10" i="10"/>
  <c r="D19" i="10"/>
  <c r="D17" i="10"/>
  <c r="D12" i="10"/>
  <c r="D24" i="10"/>
  <c r="D22" i="10"/>
  <c r="D23" i="10"/>
  <c r="D11" i="10"/>
  <c r="D15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<sst xmlns="http://schemas.openxmlformats.org/spreadsheetml/2006/main" count="3947" uniqueCount="914">
  <si>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</si>
  <si>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</si>
  <si>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</si>
  <si>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</si>
  <si>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</si>
  <si>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</si>
  <si>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</si>
  <si>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</si>
  <si>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</si>
  <si>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</si>
  <si>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</si>
  <si>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</si>
  <si>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</si>
  <si>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</si>
  <si>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</si>
  <si>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</si>
  <si>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</si>
  <si>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</si>
  <si>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</si>
  <si>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</si>
  <si>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</si>
  <si>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</si>
  <si>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</si>
  <si>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</si>
  <si>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</si>
  <si>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</si>
  <si>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</si>
  <si>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</si>
  <si>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</si>
  <si>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</si>
  <si>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</si>
  <si>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</si>
  <si>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</si>
  <si>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</si>
  <si>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</si>
  <si>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</si>
  <si>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</si>
  <si>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</si>
  <si>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</si>
  <si>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</si>
  <si>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</si>
  <si>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</si>
  <si>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</si>
  <si>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</si>
  <si>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</si>
  <si>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</si>
  <si>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</si>
  <si>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</si>
  <si>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</si>
  <si>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</si>
  <si>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</si>
  <si>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</si>
  <si>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</si>
  <si>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</si>
  <si>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</si>
  <si>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</si>
  <si>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</si>
  <si>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</si>
  <si>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</si>
  <si>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</si>
  <si>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</si>
  <si>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</si>
  <si>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</si>
  <si>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</si>
  <si>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</si>
  <si>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</si>
  <si>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</si>
  <si>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</si>
  <si>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</si>
  <si>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</si>
  <si>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</si>
  <si>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</si>
  <si>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</si>
  <si>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</si>
  <si>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</si>
  <si>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</si>
  <si>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</si>
  <si>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</si>
  <si>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</si>
  <si>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</si>
  <si>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</si>
  <si>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</si>
  <si>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</si>
  <si>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</si>
  <si>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</si>
  <si>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</si>
  <si>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</si>
  <si>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</si>
  <si>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</si>
  <si>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</si>
  <si>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</si>
  <si>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</si>
  <si>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</si>
  <si>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</si>
  <si>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</si>
  <si>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</si>
  <si>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</si>
  <si>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</si>
  <si>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</si>
  <si>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</si>
  <si>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</si>
  <si>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</si>
  <si>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</si>
  <si>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</si>
  <si>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</si>
  <si>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</si>
  <si>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</si>
  <si>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</si>
  <si>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</si>
  <si>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</si>
  <si>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</si>
  <si>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</si>
  <si>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</si>
  <si>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</si>
  <si>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</si>
  <si>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</si>
  <si>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</si>
  <si>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</si>
  <si>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</si>
  <si>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</si>
  <si>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</si>
  <si>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</si>
  <si>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</si>
  <si>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</si>
  <si>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</si>
  <si>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</si>
  <si>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</si>
  <si>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</si>
  <si>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</si>
  <si>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</si>
  <si>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</si>
  <si>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</si>
  <si>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</si>
  <si>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</si>
  <si>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</si>
  <si>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</si>
  <si>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</si>
  <si>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</si>
  <si>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</si>
  <si>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</si>
  <si>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</si>
  <si>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</si>
  <si>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</si>
  <si>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</si>
  <si>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</si>
  <si>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</si>
  <si>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</si>
  <si>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</si>
  <si>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</si>
  <si>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</si>
  <si>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</si>
  <si>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</si>
  <si>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</si>
  <si>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</si>
  <si>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</si>
  <si>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</si>
  <si>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</si>
  <si>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</si>
  <si>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</si>
  <si>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</si>
  <si>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</si>
  <si>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</si>
  <si>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</si>
  <si>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</si>
  <si>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</si>
  <si>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</si>
  <si>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</si>
  <si>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</si>
  <si>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</si>
  <si>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</si>
  <si>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</si>
  <si>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</si>
  <si>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</si>
  <si>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</si>
  <si>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</si>
  <si>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</si>
  <si>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</si>
  <si>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</si>
  <si>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</si>
  <si>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</si>
  <si>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</si>
  <si>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</si>
  <si>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</si>
  <si>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</si>
  <si>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</si>
  <si>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</si>
  <si>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</si>
  <si>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</si>
  <si>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</si>
  <si>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</si>
  <si>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</si>
  <si>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</si>
  <si>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</si>
  <si>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</si>
  <si>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</si>
  <si>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</si>
  <si>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</si>
  <si>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</si>
  <si>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</si>
  <si>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</si>
  <si>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</si>
  <si>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</si>
  <si>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</si>
  <si>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</si>
  <si>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</si>
  <si>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</si>
  <si>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</si>
  <si>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</si>
  <si>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</si>
  <si>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</si>
  <si>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</si>
  <si>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</si>
  <si>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</si>
  <si>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</si>
  <si>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</si>
  <si>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</si>
  <si>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</si>
  <si>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</si>
  <si>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</si>
  <si>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</si>
  <si>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</si>
  <si>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</si>
  <si>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</si>
  <si>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</si>
  <si>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</si>
  <si>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</si>
  <si>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</si>
  <si>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</si>
  <si>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</si>
  <si>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</si>
  <si>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</si>
  <si>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</si>
  <si>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</si>
  <si>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</si>
  <si>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</si>
  <si>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</si>
  <si>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</si>
  <si>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</si>
  <si>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</si>
  <si>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</si>
  <si>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</si>
  <si>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</si>
  <si>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</si>
  <si>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</si>
  <si>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</si>
  <si>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</si>
  <si>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</si>
  <si>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</si>
  <si>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</si>
  <si>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</si>
  <si>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</si>
  <si>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</si>
  <si>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</si>
  <si>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</si>
  <si>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</si>
  <si>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</si>
  <si>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</si>
  <si>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</si>
  <si>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</si>
  <si>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</si>
  <si>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</si>
  <si>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</si>
  <si>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</si>
  <si>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</si>
  <si>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</si>
  <si>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</si>
  <si>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</si>
  <si>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</si>
  <si>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</si>
  <si>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</si>
  <si>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</si>
  <si>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</si>
  <si>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</si>
  <si>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</si>
  <si>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</si>
  <si>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</si>
  <si>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</si>
  <si>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</si>
  <si>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</si>
  <si>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</si>
  <si>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</si>
  <si>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</si>
  <si>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</si>
  <si>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</si>
  <si>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</si>
  <si>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</si>
  <si>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</si>
  <si>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</si>
  <si>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</si>
  <si>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</si>
  <si>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</si>
  <si>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</si>
  <si>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</si>
  <si>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</si>
  <si>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</si>
  <si>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</si>
  <si>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</si>
  <si>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</si>
  <si>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</si>
  <si>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</si>
  <si>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</si>
  <si>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</si>
  <si>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</si>
  <si>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</si>
  <si>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</si>
  <si>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</si>
  <si>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</si>
  <si>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</si>
  <si>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</si>
  <si>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</si>
  <si>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</si>
  <si>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</si>
  <si>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</si>
  <si>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</si>
  <si>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</si>
  <si>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</si>
  <si>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</si>
  <si>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</si>
  <si>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</si>
  <si>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</si>
  <si>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</si>
  <si>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</si>
  <si>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</si>
  <si>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</si>
  <si>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</si>
  <si>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</si>
  <si>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</si>
  <si>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</si>
  <si>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</si>
  <si>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</si>
  <si>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</si>
  <si>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</si>
  <si>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</si>
  <si>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</si>
  <si>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</si>
  <si>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</si>
  <si>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</si>
  <si>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</si>
  <si>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</si>
  <si>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</si>
  <si>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</si>
  <si>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</si>
  <si>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</si>
  <si>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</si>
  <si>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</si>
  <si>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</si>
  <si>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</si>
  <si>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</si>
  <si>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</si>
  <si>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</si>
  <si>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</si>
  <si>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</si>
  <si>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</si>
  <si>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</si>
  <si>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</si>
  <si>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</si>
  <si>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</si>
  <si>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</si>
  <si>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</si>
  <si>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</si>
  <si>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</si>
  <si>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</si>
  <si>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</si>
  <si>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</si>
  <si>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</si>
  <si>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</si>
  <si>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</si>
  <si>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</si>
  <si>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</si>
  <si>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</si>
  <si>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</si>
  <si>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</si>
  <si>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</si>
  <si>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</si>
  <si>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</si>
  <si>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</si>
  <si>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</si>
  <si>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</si>
  <si>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</si>
  <si>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</si>
  <si>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</si>
  <si>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</si>
  <si>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</si>
  <si>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</si>
  <si>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</si>
  <si>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</si>
  <si>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</si>
  <si>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</si>
  <si>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</si>
  <si>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</si>
  <si>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</si>
  <si>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</si>
  <si>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</si>
  <si>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</si>
  <si>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</si>
  <si>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</si>
  <si>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</si>
  <si>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</si>
  <si>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</si>
  <si>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</si>
  <si>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</si>
  <si>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</si>
  <si>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</si>
  <si>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</si>
  <si>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</si>
  <si>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</si>
  <si>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</si>
  <si>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</si>
  <si>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</si>
  <si>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</si>
  <si>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</si>
  <si>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</si>
  <si>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</si>
  <si>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</si>
  <si>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</si>
  <si>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</si>
  <si>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</si>
  <si>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</si>
  <si>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</si>
  <si>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</si>
  <si>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</si>
  <si>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</si>
  <si>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</si>
  <si>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</si>
  <si>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</si>
  <si>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</si>
  <si>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</si>
  <si>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</si>
  <si>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</si>
  <si>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</si>
  <si>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</si>
  <si>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</si>
  <si>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</si>
  <si>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</si>
  <si>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</si>
  <si>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</si>
  <si>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</si>
  <si>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</si>
  <si>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</si>
  <si>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</si>
  <si>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</si>
  <si>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</si>
  <si>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</si>
  <si>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</si>
  <si>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</si>
  <si>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</si>
  <si>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</si>
  <si>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</si>
  <si>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</si>
  <si>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</si>
  <si>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</si>
  <si>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</si>
  <si>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</si>
  <si>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</si>
  <si>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</si>
  <si>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</si>
  <si>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</si>
  <si>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</si>
  <si>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</si>
  <si>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</si>
  <si>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</si>
  <si>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</si>
  <si>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</si>
  <si>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</si>
  <si>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</si>
  <si>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</si>
  <si>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</si>
  <si>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</si>
  <si>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</si>
  <si>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</si>
  <si>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</si>
  <si>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</si>
  <si>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</si>
  <si>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</si>
  <si>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</si>
  <si>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</si>
  <si>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</si>
  <si>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</si>
  <si>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</si>
  <si>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</si>
  <si>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</si>
  <si>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</si>
  <si>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</si>
  <si>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</si>
  <si>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</si>
  <si>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</si>
  <si>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</si>
  <si>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</si>
  <si>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</si>
  <si>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</si>
  <si>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</si>
  <si>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</si>
  <si>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</si>
  <si>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</si>
  <si>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</si>
  <si>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</si>
  <si>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</si>
  <si>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</si>
  <si>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</si>
  <si>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</si>
  <si>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</si>
  <si>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</si>
  <si>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</si>
  <si>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</si>
  <si>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</si>
  <si>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</si>
  <si>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</si>
  <si>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</si>
  <si>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</si>
  <si>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</si>
  <si>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</si>
  <si>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</si>
  <si>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</si>
  <si>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</si>
  <si>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</si>
  <si>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</si>
  <si>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</si>
  <si>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</si>
  <si>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</si>
  <si>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</si>
  <si>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</si>
  <si>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</si>
  <si>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</si>
  <si>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</si>
  <si>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</si>
  <si>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</si>
  <si>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</si>
  <si>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</si>
  <si>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</si>
  <si>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</si>
  <si>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</si>
  <si>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</si>
  <si>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</si>
  <si>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</si>
  <si>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</si>
  <si>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</si>
  <si>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</si>
  <si>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</si>
  <si>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</si>
  <si>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</si>
  <si>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</si>
  <si>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</si>
  <si>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</si>
  <si>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</si>
  <si>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</si>
  <si>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</si>
  <si>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</si>
  <si>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</si>
  <si>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</si>
  <si>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</si>
  <si>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</si>
  <si>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</si>
  <si>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</si>
  <si>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</si>
  <si>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</si>
  <si>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</si>
  <si>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</si>
  <si>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</si>
  <si>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</si>
  <si>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</si>
  <si>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</si>
  <si>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</si>
  <si>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</si>
  <si>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</si>
  <si>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</si>
  <si>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</si>
  <si>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</si>
  <si>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</si>
  <si>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</si>
  <si>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</si>
  <si>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</si>
  <si>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</si>
  <si>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</si>
  <si>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</si>
  <si>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</si>
  <si>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</si>
  <si>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</si>
  <si>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</si>
  <si>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</si>
  <si>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</si>
  <si>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</si>
  <si>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</si>
  <si>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</si>
  <si>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</si>
  <si>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</si>
  <si>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</si>
  <si>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</si>
  <si>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</si>
  <si>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</si>
  <si>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</si>
  <si>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</si>
  <si>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</si>
  <si>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</si>
  <si>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</si>
  <si>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</si>
  <si>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</si>
  <si>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</si>
  <si>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</si>
  <si>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</si>
  <si>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</si>
  <si>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</si>
  <si>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</si>
  <si>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</si>
  <si>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</si>
  <si>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</si>
  <si>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</si>
  <si>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</si>
  <si>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</si>
  <si>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</si>
  <si>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</si>
  <si>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</si>
  <si>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</si>
  <si>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</si>
  <si>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</si>
  <si>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</si>
  <si>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</si>
  <si>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</si>
  <si>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</si>
  <si>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</si>
  <si>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</si>
  <si>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</si>
  <si>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</si>
  <si>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</si>
  <si>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</si>
  <si>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</si>
  <si>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</si>
  <si>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</si>
  <si>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</si>
  <si>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</si>
  <si>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</si>
  <si>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</si>
  <si>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</si>
  <si>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</si>
  <si>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</si>
  <si>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</si>
  <si>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</si>
  <si>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</si>
  <si>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</si>
  <si>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</si>
  <si>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</si>
  <si>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</si>
  <si>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</si>
  <si>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</si>
  <si>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</si>
  <si>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</si>
  <si>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</si>
  <si>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</si>
  <si>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</si>
  <si>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</si>
  <si>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</si>
  <si>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</si>
  <si>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</si>
  <si>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</si>
  <si>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</si>
  <si>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</si>
  <si>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</si>
  <si>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</si>
  <si>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</si>
  <si>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</si>
  <si>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</si>
  <si>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</si>
  <si>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</si>
  <si>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</si>
  <si>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</si>
  <si>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</si>
  <si>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</si>
  <si>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</si>
  <si>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</si>
  <si>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</si>
  <si>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</si>
  <si>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</si>
  <si>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</si>
  <si>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</si>
  <si>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</si>
  <si>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</si>
  <si>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</si>
  <si>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</si>
  <si>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</si>
  <si>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</si>
  <si>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</si>
  <si>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</si>
  <si>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</si>
  <si>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</si>
  <si>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</si>
  <si>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</si>
  <si>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</si>
  <si>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</si>
  <si>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</si>
  <si>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</si>
  <si>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</si>
  <si>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</si>
  <si>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</si>
  <si>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</si>
  <si>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</si>
  <si>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</si>
  <si>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</si>
  <si>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</si>
  <si>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</si>
  <si>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</si>
  <si>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</si>
  <si>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</si>
  <si>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</si>
  <si>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</si>
  <si>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</si>
  <si>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</si>
  <si>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</si>
  <si>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</si>
  <si>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</si>
  <si>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</si>
  <si>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</si>
  <si>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</si>
  <si>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</si>
  <si>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</si>
  <si>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</si>
  <si>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</si>
  <si>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</si>
  <si>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</si>
  <si>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</si>
  <si>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</si>
  <si>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</si>
  <si>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</si>
  <si>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</si>
  <si>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</si>
  <si>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</si>
  <si>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</si>
  <si>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</si>
  <si>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</si>
  <si>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</si>
  <si>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</si>
  <si>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</si>
  <si>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</si>
  <si>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</si>
  <si>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</si>
  <si>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</si>
  <si>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</si>
  <si>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</si>
  <si>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</si>
  <si>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</si>
  <si>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</si>
  <si>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</si>
  <si>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</si>
  <si>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</si>
  <si>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</si>
  <si>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</si>
  <si>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</si>
  <si>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</si>
  <si>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</si>
  <si>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</si>
  <si>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</si>
  <si>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</si>
  <si>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</si>
  <si>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</si>
  <si>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</si>
  <si>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</si>
  <si>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</si>
  <si>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</si>
  <si>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</si>
  <si>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</si>
  <si>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</si>
  <si>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</si>
  <si>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</si>
  <si>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</si>
  <si>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</si>
  <si>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</si>
  <si>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</si>
  <si>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</si>
  <si>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</si>
  <si>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</si>
  <si>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</si>
  <si>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</si>
  <si>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</si>
  <si>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</si>
  <si>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</si>
  <si>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</si>
  <si>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</si>
  <si>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</si>
  <si>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</si>
  <si>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</si>
  <si>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</si>
  <si>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</si>
  <si>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</si>
  <si>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</si>
  <si>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</si>
  <si>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</si>
  <si>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</si>
  <si>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</si>
  <si>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</si>
  <si>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</si>
  <si>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</si>
  <si>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</si>
  <si>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</si>
  <si>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</si>
  <si>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</si>
  <si>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</si>
  <si>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</si>
  <si>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</si>
  <si>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</si>
  <si>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</si>
  <si>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</si>
  <si>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</si>
  <si>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</si>
  <si>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</si>
  <si>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</si>
  <si>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</si>
  <si>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</si>
  <si>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</si>
  <si>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</si>
  <si>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</si>
  <si>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</si>
  <si>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</si>
  <si>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</si>
  <si>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</si>
  <si>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</si>
  <si>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</si>
  <si>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</si>
  <si>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</si>
  <si>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</si>
  <si>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</si>
  <si>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</si>
  <si>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</si>
  <si>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</si>
  <si>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</si>
  <si>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</si>
  <si>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</si>
  <si>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</si>
  <si>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</si>
  <si>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</si>
  <si>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</si>
  <si>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</si>
  <si>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</si>
  <si>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</si>
  <si>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</si>
  <si>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</si>
  <si>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</si>
  <si>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</si>
  <si>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</si>
  <si>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</si>
  <si>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</si>
  <si>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</si>
  <si>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</si>
  <si>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</si>
  <si>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</si>
  <si>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</si>
  <si>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</si>
  <si>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</si>
  <si>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</si>
  <si>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</si>
  <si>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</si>
  <si>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</si>
  <si>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</si>
  <si>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</si>
  <si>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</si>
  <si>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</si>
  <si>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</si>
  <si>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</si>
  <si>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</si>
  <si>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</si>
  <si>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</si>
  <si>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</si>
  <si>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</si>
  <si>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</si>
  <si>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</si>
  <si>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</si>
  <si>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</si>
  <si>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</si>
  <si>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</si>
  <si>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</si>
  <si>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</si>
  <si>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</si>
  <si>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</si>
  <si>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</si>
  <si>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</si>
  <si>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</si>
  <si>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</si>
  <si>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</si>
  <si>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</si>
  <si>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</si>
  <si>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</si>
  <si>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</si>
  <si>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</si>
  <si>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</si>
  <si>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</si>
  <si>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</si>
  <si>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</si>
  <si>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</si>
  <si>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</si>
  <si>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</si>
  <si>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</si>
  <si>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</si>
  <si>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</si>
  <si>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</si>
  <si>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</si>
  <si>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</si>
  <si>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</si>
  <si>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</si>
  <si>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</si>
  <si>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</si>
  <si>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</si>
  <si>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</si>
  <si>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</si>
  <si>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</si>
  <si>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</si>
  <si>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</si>
  <si>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</si>
  <si>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</si>
  <si>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</si>
  <si>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</si>
  <si>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</si>
  <si>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</si>
  <si>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$8049.94  Fresh Fruits &amp; Vegetable Grant from NH Bureau of Nutrition</t>
  </si>
  <si>
    <t>$800  Campus Compact Grant</t>
  </si>
  <si>
    <t>06/10</t>
  </si>
  <si>
    <t>06/15</t>
  </si>
  <si>
    <t>Lincoln-Woodstock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</si>
</sst>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913</v>
      </c>
      <c r="B2" s="21">
        <v>305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599011.84+4498.12</f>
        <v>603509.96</v>
      </c>
      <c r="G9" s="18"/>
      <c r="H9" s="18"/>
      <c r="I9" s="18">
        <v>0</v>
      </c>
      <c r="J9" s="67">
        <f>SUM(I438)</f>
        <v>112092.19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329659.33-89802</f>
        <v>239857.33000000002</v>
      </c>
      <c r="G12" s="18">
        <v>5164.5</v>
      </c>
      <c r="H12" s="18">
        <f>13780.04+575.02+9608.95+1276+12383.95+26622.78+373.53+7692.94</f>
        <v>72313.210000000006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3993.27</v>
      </c>
      <c r="H13" s="18">
        <f>30097.76+62349.88+33488.06+1091.41</f>
        <v>127027.11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10467.719999999999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853835.01</v>
      </c>
      <c r="G19" s="41">
        <f>SUM(G9:G18)</f>
        <v>9157.77</v>
      </c>
      <c r="H19" s="41">
        <f>SUM(H9:H18)</f>
        <v>199340.32</v>
      </c>
      <c r="I19" s="41">
        <f>SUM(I9:I18)</f>
        <v>0</v>
      </c>
      <c r="J19" s="41">
        <f>SUM(J9:J18)</f>
        <v>112092.19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172521.52+80575.55</f>
        <v>253097.07</v>
      </c>
      <c r="G22" s="18"/>
      <c r="H22" s="18">
        <f>2234.78+16002.25+13900.43+14871.45+575.02+8450+9583.95+29616.92+43947.63+19587.63</f>
        <v>158770.06</v>
      </c>
      <c r="I22" s="18">
        <v>4500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1998.12+55385.05</f>
        <v>57383.170000000006</v>
      </c>
      <c r="G24" s="18">
        <v>114.1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195173.81+14596.98+21924.22</f>
        <v>231695.01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542175.25</v>
      </c>
      <c r="G32" s="41">
        <f>SUM(G22:G31)</f>
        <v>114.1</v>
      </c>
      <c r="H32" s="41">
        <f>SUM(H22:H31)</f>
        <v>158770.06</v>
      </c>
      <c r="I32" s="41">
        <f>SUM(I22:I31)</f>
        <v>4500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9043.67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145500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f>100000</f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f>0.1+176.94+189.05+1176+28968.24</f>
        <v>30510.33</v>
      </c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112092.19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f>4749.79+38399.76</f>
        <v>43149.55</v>
      </c>
      <c r="G48" s="18"/>
      <c r="H48" s="18">
        <f>509.45-176.94-189.05+1158.95-28968.24+37725.76</f>
        <v>10059.93</v>
      </c>
      <c r="I48" s="18">
        <f>-183899.76-4500+145500+38399.76</f>
        <v>-4500.0000000000073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352961.77-46051.8-145500-38399.76-100000</f>
        <v>23010.210000000021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311659.76</v>
      </c>
      <c r="G50" s="41">
        <f>SUM(G35:G49)</f>
        <v>9043.67</v>
      </c>
      <c r="H50" s="41">
        <f>SUM(H35:H49)</f>
        <v>40570.26</v>
      </c>
      <c r="I50" s="41">
        <f>SUM(I35:I49)</f>
        <v>-4500.0000000000073</v>
      </c>
      <c r="J50" s="41">
        <f>SUM(J35:J49)</f>
        <v>112092.19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853835.01</v>
      </c>
      <c r="G51" s="41">
        <f>G50+G32</f>
        <v>9157.77</v>
      </c>
      <c r="H51" s="41">
        <f>H50+H32</f>
        <v>199340.32</v>
      </c>
      <c r="I51" s="41">
        <f>I50+I32</f>
        <v>-7.2759576141834259E-12</v>
      </c>
      <c r="J51" s="41">
        <f>J50+J32</f>
        <v>112092.19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3354888</f>
        <v>3354888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3354888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15820.49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15820.49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239.85</v>
      </c>
      <c r="G95" s="18"/>
      <c r="H95" s="18"/>
      <c r="I95" s="18"/>
      <c r="J95" s="18">
        <v>157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11792.08+30252.4+10840.5+6329.5+10831+875</f>
        <v>70920.48000000001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f>1710</f>
        <v>1710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1774.5</f>
        <v>1774.5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100+26622.78</f>
        <v>26722.78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31.6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24967.31+784.68</f>
        <v>25751.99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29507.940000000002</v>
      </c>
      <c r="G110" s="41">
        <f>SUM(G95:G109)</f>
        <v>70920.48000000001</v>
      </c>
      <c r="H110" s="41">
        <f>SUM(H95:H109)</f>
        <v>26722.78</v>
      </c>
      <c r="I110" s="41">
        <f>SUM(I95:I109)</f>
        <v>0</v>
      </c>
      <c r="J110" s="41">
        <f>SUM(J95:J109)</f>
        <v>157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3400216.43</v>
      </c>
      <c r="G111" s="41">
        <f>G59+G110</f>
        <v>70920.48000000001</v>
      </c>
      <c r="H111" s="41">
        <f>H59+H78+H93+H110</f>
        <v>26722.78</v>
      </c>
      <c r="I111" s="41">
        <f>I59+I110</f>
        <v>0</v>
      </c>
      <c r="J111" s="41">
        <f>J59+J110</f>
        <v>157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354575.78</f>
        <v>354575.78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2566602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307.22</f>
        <v>307.22000000000003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5424.27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2926909.2700000005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10136.48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1685.55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1525.94</f>
        <v>1525.94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f>1837.44</f>
        <v>1837.44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13659.47</v>
      </c>
      <c r="G135" s="41">
        <f>SUM(G122:G134)</f>
        <v>1525.94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2940568.7400000007</v>
      </c>
      <c r="G139" s="41">
        <f>G120+SUM(G135:G136)</f>
        <v>1525.94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f>8049.94+800</f>
        <v>8849.9399999999987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8849.9399999999987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91261.33+9187.5+7563.72</f>
        <v>108012.55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24155.5+21259.2+2400+62769.99+14487.74</f>
        <v>125072.43000000001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3765.5+4970.18+74678.33</f>
        <v>83414.010000000009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1064.14+80212.82+200</f>
        <v>81476.960000000006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52749.03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52749.03</v>
      </c>
      <c r="G161" s="41">
        <f>SUM(G149:G160)</f>
        <v>83414.010000000009</v>
      </c>
      <c r="H161" s="41">
        <f>SUM(H149:H160)</f>
        <v>314561.94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71743.39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124492.42</v>
      </c>
      <c r="G168" s="41">
        <f>G146+G161+SUM(G162:G167)</f>
        <v>83414.010000000009</v>
      </c>
      <c r="H168" s="41">
        <f>H146+H161+SUM(H162:H167)</f>
        <v>323411.88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16712.61</f>
        <v>16712.61</v>
      </c>
      <c r="H178" s="18"/>
      <c r="I178" s="18"/>
      <c r="J178" s="18">
        <v>100000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16712.61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150000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150000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150000</v>
      </c>
      <c r="G191" s="41">
        <f>G182+SUM(G187:G190)</f>
        <v>16712.61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6615277.5900000008</v>
      </c>
      <c r="G192" s="47">
        <f>G111+G139+G168+G191</f>
        <v>172573.04000000004</v>
      </c>
      <c r="H192" s="47">
        <f>H111+H139+H168+H191</f>
        <v>350134.66000000003</v>
      </c>
      <c r="I192" s="47">
        <f>I111+I139+I168+I191</f>
        <v>0</v>
      </c>
      <c r="J192" s="47">
        <f>J111+J139+J191</f>
        <v>100157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775781.56+28946.8</f>
        <v>804728.3600000001</v>
      </c>
      <c r="G196" s="18">
        <f>189463.16+5341.58+576+280.8+64827.28+90.2+96448.72+1120.64+4195.68</f>
        <v>362344.06</v>
      </c>
      <c r="H196" s="18">
        <f>4870.48+5060.59+4518.72+335.09+13.4</f>
        <v>14798.28</v>
      </c>
      <c r="I196" s="18">
        <f>13123.06+9493.39+12165.9+945.15+3787.55+27317.52</f>
        <v>66832.570000000007</v>
      </c>
      <c r="J196" s="18">
        <f>8.95+238.49+1571.17+4842+3838.88</f>
        <v>10499.490000000002</v>
      </c>
      <c r="K196" s="18">
        <f>828</f>
        <v>828</v>
      </c>
      <c r="L196" s="19">
        <f>SUM(F196:K196)</f>
        <v>1260030.7600000002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170945.7+7350+10158.15</f>
        <v>188453.85</v>
      </c>
      <c r="G197" s="18">
        <f>55702.2+1595.7+76.8+13593.44+6065.84+14994.42+246.94+924.53+770.19+345.05+468.92+14.67+54.94</f>
        <v>94853.64</v>
      </c>
      <c r="H197" s="18">
        <f>1518.39+2124.79+254.01+69154.3+11078.28+47720.88+73127.04+102.12</f>
        <v>205079.81</v>
      </c>
      <c r="I197" s="18">
        <f>644.78+100</f>
        <v>744.78</v>
      </c>
      <c r="J197" s="18">
        <f>39.5+32.48+1917</f>
        <v>1988.98</v>
      </c>
      <c r="K197" s="18">
        <f>421.95+335.75</f>
        <v>757.7</v>
      </c>
      <c r="L197" s="19">
        <f>SUM(F197:K197)</f>
        <v>491878.76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789+5895.9</f>
        <v>6684.9</v>
      </c>
      <c r="G199" s="18">
        <f>55.87+89.16+1129.57+96.4+1400.68</f>
        <v>2771.6800000000003</v>
      </c>
      <c r="H199" s="18"/>
      <c r="I199" s="18">
        <f>136</f>
        <v>136</v>
      </c>
      <c r="J199" s="18"/>
      <c r="K199" s="18"/>
      <c r="L199" s="19">
        <f>SUM(F199:K199)</f>
        <v>9592.58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44034+13737.87+23691.96+20676.1+1531.25+1490.69</f>
        <v>105161.87</v>
      </c>
      <c r="G201" s="18">
        <f>15864.26+316.58+38.4+2956.52+4981.23+63.61+238.15+4827.38+129.96+982.4+1552.37+19.84+74.3+2370.57+127.61+10.43+1777.82+2677.21+34.22+128.13+11852.4+319.14+1416.12+1819.51+29.87+111.82+117.15+154.93+111.91+179.89</f>
        <v>55283.73000000001</v>
      </c>
      <c r="H201" s="18">
        <f>178.04+2025+47.69+89.76+52614.4+1249.29+1500+52325+1732.54+5200</f>
        <v>116961.71999999999</v>
      </c>
      <c r="I201" s="18">
        <f>123.22+170.84+313.04+108+676.7+586.45+406.32+29.95+168.89</f>
        <v>2583.41</v>
      </c>
      <c r="J201" s="18"/>
      <c r="K201" s="18">
        <f>180+165+1000</f>
        <v>1345</v>
      </c>
      <c r="L201" s="19">
        <f t="shared" ref="L201:L207" si="0">SUM(F201:K201)</f>
        <v>281335.73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19337.73</f>
        <v>19337.73</v>
      </c>
      <c r="G202" s="18">
        <f>1610.8+9202+1883.42+3911.35+105.27+15.78+1415.15+2185.08+27.93+104.58</f>
        <v>20461.36</v>
      </c>
      <c r="H202" s="18">
        <f>2453.6+12168.67+259</f>
        <v>14881.27</v>
      </c>
      <c r="I202" s="18">
        <f>564.56+196.98+2622.79+465.06+1019.66+333.6+1154.65</f>
        <v>6357.3000000000011</v>
      </c>
      <c r="J202" s="18">
        <f>2626.62</f>
        <v>2626.62</v>
      </c>
      <c r="K202" s="18"/>
      <c r="L202" s="19">
        <f t="shared" si="0"/>
        <v>63664.280000000006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2700+450+1440+828+108820.28</f>
        <v>114238.28</v>
      </c>
      <c r="G203" s="18">
        <f>206.55+30.04+41.19+110.16+61.7+19.89+22465.44+516.94+389.23+7876.45+5020.57+2847.53+157.19+588.54+1178.8</f>
        <v>41510.22</v>
      </c>
      <c r="H203" s="18">
        <f>1200+23.4+534.1+3185.4+4441.06+3643.37+276.18+4750+568.25+335.93+1163.4+241.76+1706.88+378</f>
        <v>22447.73</v>
      </c>
      <c r="I203" s="18">
        <f>70.2+159.6+34.64+328.21+1094.24+735.12+591.76+207.71</f>
        <v>3221.4799999999996</v>
      </c>
      <c r="J203" s="18"/>
      <c r="K203" s="18">
        <f>1287.4+334.2+1105.83+171.45</f>
        <v>2898.88</v>
      </c>
      <c r="L203" s="19">
        <f t="shared" si="0"/>
        <v>184316.59000000003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102517.74</f>
        <v>102517.74</v>
      </c>
      <c r="G204" s="18">
        <f>17772.36+574.42+1390.19+7563.53+2391.1+8535.68+148.09+554.45+518.6+3000</f>
        <v>42448.419999999991</v>
      </c>
      <c r="H204" s="18">
        <f>2501.41+593.77+1046.28+1179.97</f>
        <v>5321.43</v>
      </c>
      <c r="I204" s="18">
        <f>1993.15</f>
        <v>1993.15</v>
      </c>
      <c r="J204" s="18">
        <f>105.99</f>
        <v>105.99</v>
      </c>
      <c r="K204" s="18">
        <f>2178+363.6</f>
        <v>2541.6</v>
      </c>
      <c r="L204" s="19">
        <f t="shared" si="0"/>
        <v>154928.32999999999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39181.44</f>
        <v>39181.440000000002</v>
      </c>
      <c r="G206" s="18">
        <f>13808.04+743.53+2738.2+3548.02+56.6+211.91</f>
        <v>21106.3</v>
      </c>
      <c r="H206" s="18">
        <f>6200.04+3037.34+759.29+5356.8+904.97+328.47+155.17+520+201.65</f>
        <v>17463.73</v>
      </c>
      <c r="I206" s="18">
        <f>9557.11+23313.52+18430.3+58.15+615.13</f>
        <v>51974.210000000006</v>
      </c>
      <c r="J206" s="18"/>
      <c r="K206" s="18">
        <f>7701.75</f>
        <v>7701.75</v>
      </c>
      <c r="L206" s="19">
        <f t="shared" si="0"/>
        <v>137427.43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3410+5860.66</f>
        <v>9270.66</v>
      </c>
      <c r="G207" s="18">
        <f>260.82+6.23+23.31+3843.94+103.52+389.16+469.96+8.47+31.7</f>
        <v>5137.1100000000006</v>
      </c>
      <c r="H207" s="18">
        <f>3103.8+28941.6+23381.58+1500+300+824.25+252+345+385+610</f>
        <v>59643.229999999996</v>
      </c>
      <c r="I207" s="18">
        <f>86.21+7102.31</f>
        <v>7188.52</v>
      </c>
      <c r="J207" s="18"/>
      <c r="K207" s="18"/>
      <c r="L207" s="19">
        <f t="shared" si="0"/>
        <v>81239.520000000004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207.34</f>
        <v>207.34</v>
      </c>
      <c r="I208" s="18"/>
      <c r="J208" s="18"/>
      <c r="K208" s="18"/>
      <c r="L208" s="19">
        <f>SUM(F208:K208)</f>
        <v>207.34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1389574.8299999998</v>
      </c>
      <c r="G210" s="41">
        <f t="shared" si="1"/>
        <v>645916.52</v>
      </c>
      <c r="H210" s="41">
        <f t="shared" si="1"/>
        <v>456804.54</v>
      </c>
      <c r="I210" s="41">
        <f t="shared" si="1"/>
        <v>141031.42000000001</v>
      </c>
      <c r="J210" s="41">
        <f t="shared" si="1"/>
        <v>15221.08</v>
      </c>
      <c r="K210" s="41">
        <f t="shared" si="1"/>
        <v>16072.93</v>
      </c>
      <c r="L210" s="41">
        <f t="shared" si="1"/>
        <v>2664621.3200000003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417407.8+10680</f>
        <v>428087.8</v>
      </c>
      <c r="G214" s="18">
        <f>86111.57+2361.84+262.4+189.54+35386+149.6+53070.19+606.57+2271</f>
        <v>180408.71000000002</v>
      </c>
      <c r="H214" s="18">
        <f>3550.08+2542.85+3050.13</f>
        <v>9143.0600000000013</v>
      </c>
      <c r="I214" s="18">
        <f>8371.17+595.09+9471.29+473.49+2162.73+710.43</f>
        <v>21784.200000000004</v>
      </c>
      <c r="J214" s="18">
        <f>2533.58+238.49+1192.98+4842</f>
        <v>8807.0499999999993</v>
      </c>
      <c r="K214" s="18">
        <f>883.9</f>
        <v>883.9</v>
      </c>
      <c r="L214" s="19">
        <f>SUM(F214:K214)</f>
        <v>649114.72000000009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114901.56+4225+4780</f>
        <v>123906.56</v>
      </c>
      <c r="G215" s="18">
        <f>39139.1+957.42+38.4+8619.44+5630.21+7150.35+165.98+621.43+357.5+230.86+321.58+6.9+25.85</f>
        <v>63265.020000000004</v>
      </c>
      <c r="H215" s="18">
        <f>1148.44+1426.77+20+171.92+23862.8+204.52</f>
        <v>26834.45</v>
      </c>
      <c r="I215" s="18">
        <f>142.14+776.84</f>
        <v>918.98</v>
      </c>
      <c r="J215" s="18">
        <f>2331.88</f>
        <v>2331.88</v>
      </c>
      <c r="K215" s="18">
        <v>1029.05</v>
      </c>
      <c r="L215" s="19">
        <f>SUM(F215:K215)</f>
        <v>218285.94000000003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9914+4567.5+360</f>
        <v>14841.5</v>
      </c>
      <c r="G217" s="18">
        <f>30.33+0.84+778.91+638.26+15.46+57.89+175+343.42+475.54+27.63+40.72</f>
        <v>2584</v>
      </c>
      <c r="H217" s="18">
        <f>3160</f>
        <v>3160</v>
      </c>
      <c r="I217" s="18">
        <f>1497.7</f>
        <v>1497.7</v>
      </c>
      <c r="J217" s="18"/>
      <c r="K217" s="18">
        <f>505</f>
        <v>505</v>
      </c>
      <c r="L217" s="19">
        <f>SUM(F217:K217)</f>
        <v>22588.2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35562.79+8977.55+15992.06+1006.21</f>
        <v>61538.609999999993</v>
      </c>
      <c r="G219" s="18">
        <f>11733.11+271.32+2543.79+1299.47+2397.18+51.37+192.34+3164.6+85.17+641.9+1014.5+12.97+48.55+1599.99+86.26+5.61+1199.96+1807.01+23.1+86.49+75.54+121.42</f>
        <v>28461.649999999994</v>
      </c>
      <c r="H219" s="18">
        <f>120.18+1366.88+32.19+11025</f>
        <v>12544.25</v>
      </c>
      <c r="I219" s="18">
        <f>138.63+165.78+72.9+444.64</f>
        <v>821.94999999999993</v>
      </c>
      <c r="J219" s="18"/>
      <c r="K219" s="18"/>
      <c r="L219" s="19">
        <f t="shared" ref="L219:L225" si="2">SUM(F219:K219)</f>
        <v>103366.45999999998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1000+15821.76</f>
        <v>16821.760000000002</v>
      </c>
      <c r="G220" s="18">
        <f>76.5+113+2051.29+4764+3200.26+86.26+10.6+1157.83+1787.78+22.86+85.57</f>
        <v>13355.95</v>
      </c>
      <c r="H220" s="18">
        <f>751.68+117.02+8114.56+129.5</f>
        <v>9112.76</v>
      </c>
      <c r="I220" s="18">
        <f>314.57+104.49+1949.04+313.92+976.46+1044.68+773.26</f>
        <v>5476.42</v>
      </c>
      <c r="J220" s="18"/>
      <c r="K220" s="18"/>
      <c r="L220" s="19">
        <f t="shared" si="2"/>
        <v>44766.89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1882.5+303.75+972+558.9+69393.24</f>
        <v>73110.39</v>
      </c>
      <c r="G221" s="18">
        <f>144.03+20.16+27.87+74.36+41.71+13.43+14002.21+321.42+262.77+5029.53+3021.64+1922.17+100.24+375.3+978.23</f>
        <v>26335.069999999996</v>
      </c>
      <c r="H221" s="18">
        <f>810+15.8+360.52+2150.15+3011.29+2459.27+186.46+2850+383.55+215.81+763.02+31.74+1152.18+225</f>
        <v>14614.789999999999</v>
      </c>
      <c r="I221" s="18">
        <f>47.4+107.73+23.38+210.66+655.39+496.23+399.44+143.96</f>
        <v>2084.19</v>
      </c>
      <c r="J221" s="18"/>
      <c r="K221" s="18">
        <f>868.99+106.15+576.58+270.96</f>
        <v>1822.68</v>
      </c>
      <c r="L221" s="19">
        <f t="shared" si="2"/>
        <v>117967.11999999998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66985.7</f>
        <v>66985.7</v>
      </c>
      <c r="G222" s="18">
        <f>5914.14+318.8+938.67+5023.61+1475.43+5771.38+96.76+362.28+221.78</f>
        <v>20122.849999999999</v>
      </c>
      <c r="H222" s="18">
        <f>1688.43+345.62+549.04+464.39</f>
        <v>3047.48</v>
      </c>
      <c r="I222" s="18">
        <f>855.53+125</f>
        <v>980.53</v>
      </c>
      <c r="J222" s="18"/>
      <c r="K222" s="18">
        <f>1334.15+247.93</f>
        <v>1582.0800000000002</v>
      </c>
      <c r="L222" s="19">
        <f t="shared" si="2"/>
        <v>92718.639999999985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34696.14</f>
        <v>34696.14</v>
      </c>
      <c r="G224" s="18">
        <f>13334.08+398.93+2430.74+3141.39+50.12+187.65</f>
        <v>19542.91</v>
      </c>
      <c r="H224" s="18">
        <f>3987.94+1994.24+3615.84+854.5+280.38+104.74+351+111.24</f>
        <v>11299.88</v>
      </c>
      <c r="I224" s="18">
        <f>7843.48+21570.4+31529.47+190.16+409.99</f>
        <v>61543.500000000007</v>
      </c>
      <c r="J224" s="18"/>
      <c r="K224" s="18">
        <f>4892.12</f>
        <v>4892.12</v>
      </c>
      <c r="L224" s="19">
        <f t="shared" si="2"/>
        <v>131974.55000000002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900+3870</f>
        <v>4770</v>
      </c>
      <c r="G225" s="18">
        <f>68.85+296.09+5.59+20.93</f>
        <v>391.45999999999992</v>
      </c>
      <c r="H225" s="18">
        <f>19535.6+1902.31+5357+10030.87</f>
        <v>36825.78</v>
      </c>
      <c r="I225" s="18">
        <f>143.85+95.28+3518.85</f>
        <v>3757.98</v>
      </c>
      <c r="J225" s="18"/>
      <c r="K225" s="18"/>
      <c r="L225" s="19">
        <f t="shared" si="2"/>
        <v>45745.22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f>148.43</f>
        <v>148.43</v>
      </c>
      <c r="I226" s="18"/>
      <c r="J226" s="18"/>
      <c r="K226" s="18"/>
      <c r="L226" s="19">
        <f>SUM(F226:K226)</f>
        <v>148.43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824758.46</v>
      </c>
      <c r="G228" s="41">
        <f>SUM(G214:G227)</f>
        <v>354467.62</v>
      </c>
      <c r="H228" s="41">
        <f>SUM(H214:H227)</f>
        <v>126730.87999999999</v>
      </c>
      <c r="I228" s="41">
        <f>SUM(I214:I227)</f>
        <v>98865.450000000012</v>
      </c>
      <c r="J228" s="41">
        <f>SUM(J214:J227)</f>
        <v>11138.93</v>
      </c>
      <c r="K228" s="41">
        <f t="shared" si="3"/>
        <v>10714.83</v>
      </c>
      <c r="L228" s="41">
        <f t="shared" si="3"/>
        <v>1426676.17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636164.75+18226.13</f>
        <v>654390.88</v>
      </c>
      <c r="G232" s="18">
        <f>96704.67+3058.22+569.6+385.32+54175.81+88+73586.96+931+3485.66</f>
        <v>232985.24000000002</v>
      </c>
      <c r="H232" s="18">
        <f>4115.65+5941.67+3927.94+31109.09+1020+483.22+6.6</f>
        <v>46604.17</v>
      </c>
      <c r="I232" s="18">
        <f>11470.39+2403.55+89.98+2434.73+12750.39+179.7+9514.51</f>
        <v>38843.25</v>
      </c>
      <c r="J232" s="18">
        <f>2217.96+347.49+8457.54+1751.68+10787.09+6729.14+3106.52</f>
        <v>33397.42</v>
      </c>
      <c r="K232" s="18">
        <f>2361.14</f>
        <v>2361.14</v>
      </c>
      <c r="L232" s="19">
        <f>SUM(F232:K232)</f>
        <v>1008582.1000000001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101778.17+735+1425</f>
        <v>103938.17</v>
      </c>
      <c r="G233" s="18">
        <f>5000+319.14+76.8+8713.37+3289.73+10386.11+154.24+577.49+109.01+190.83+2.06+7.71</f>
        <v>28826.490000000005</v>
      </c>
      <c r="H233" s="18">
        <f>1744.71+229.29+67933+44616.31+104759.91+321.79+22325.54-54500</f>
        <v>187430.55000000002</v>
      </c>
      <c r="I233" s="18">
        <f>788.93+2611.31+129.15+476</f>
        <v>4005.39</v>
      </c>
      <c r="J233" s="18">
        <f>198.97+14.99</f>
        <v>213.96</v>
      </c>
      <c r="K233" s="18"/>
      <c r="L233" s="19">
        <f>SUM(F233:K233)</f>
        <v>324414.56000000006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5000</f>
        <v>5000</v>
      </c>
      <c r="G234" s="18">
        <f>382.49+7.22+27.04</f>
        <v>416.75000000000006</v>
      </c>
      <c r="H234" s="18">
        <f>30762.15</f>
        <v>30762.15</v>
      </c>
      <c r="I234" s="18">
        <f>49.35</f>
        <v>49.35</v>
      </c>
      <c r="J234" s="18"/>
      <c r="K234" s="18"/>
      <c r="L234" s="19">
        <f>SUM(F234:K234)</f>
        <v>36228.25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37016.5+5065</f>
        <v>42081.5</v>
      </c>
      <c r="G235" s="18">
        <f>1232.12+2790.97+163.55+1616.3+53.47+200.2+550+379.2+540.56</f>
        <v>7526.369999999999</v>
      </c>
      <c r="H235" s="18">
        <f>349+9714</f>
        <v>10063</v>
      </c>
      <c r="I235" s="18">
        <f>13758.74+300+733.58</f>
        <v>14792.32</v>
      </c>
      <c r="J235" s="18"/>
      <c r="K235" s="18">
        <f>4280</f>
        <v>4280</v>
      </c>
      <c r="L235" s="19">
        <f>SUM(F235:K235)</f>
        <v>78743.19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49247.33+10973.6+20501.3+1229.82</f>
        <v>81952.05</v>
      </c>
      <c r="G237" s="18">
        <f>16117.99+366.96+38.4+3527.58+1578.27+3595.56+71.14+266.35+3860.42+104.01+784.72+1239.98+15.85+59.35+1955.64+105.27+8.41+1538.38+2316.65+29.61+110.88+92.33+148.41</f>
        <v>37932.159999999996</v>
      </c>
      <c r="H237" s="18">
        <f>23000+3335.25+238.13+340+146.88+639.5+377.49+1670.62+39.34+1627.5</f>
        <v>31414.710000000003</v>
      </c>
      <c r="I237" s="18">
        <f>454.24+635.02+231.06+89.1+408.65</f>
        <v>1818.0699999999997</v>
      </c>
      <c r="J237" s="18"/>
      <c r="K237" s="18">
        <f>115</f>
        <v>115</v>
      </c>
      <c r="L237" s="19">
        <f t="shared" ref="L237:L243" si="4">SUM(F237:K237)</f>
        <v>153231.99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3000+34712.16</f>
        <v>37712.160000000003</v>
      </c>
      <c r="G238" s="18">
        <f>222.44+339.01+2723.91+6873+140+4740.79+127.61+12.02+2577.61+2648.81+50.14+187.73</f>
        <v>20643.070000000003</v>
      </c>
      <c r="H238" s="18">
        <f>1243.72+175.53+10070.91+203.5</f>
        <v>11693.66</v>
      </c>
      <c r="I238" s="18">
        <f>418.1+113.9+2618.38+511.67+1479.3+1276.58+945.08</f>
        <v>7363.01</v>
      </c>
      <c r="J238" s="18"/>
      <c r="K238" s="18"/>
      <c r="L238" s="19">
        <f t="shared" si="4"/>
        <v>77411.900000000009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2167.5+371.25+1188+683.1+87902.19</f>
        <v>92312.040000000008</v>
      </c>
      <c r="G239" s="18">
        <f>165.8+24.65+34.08+90.88+51.12+16.41+18004.01+413.78+321.12+6365.46+3972.46+2349.34+126.98+475.4+761.97</f>
        <v>33173.459999999992</v>
      </c>
      <c r="H239" s="18">
        <f>990+19.3+440.63+2627.95+3670.65+3005.78+228.36+3800+468.81+265.66+932.58+134.05+1408.16+297</f>
        <v>18288.93</v>
      </c>
      <c r="I239" s="18">
        <f>57.9+131.67+28.57+265.36+951.36+606.49+488.2+173.39</f>
        <v>2702.94</v>
      </c>
      <c r="J239" s="18"/>
      <c r="K239" s="18">
        <f>1062.1+149.15+767.09+249.59</f>
        <v>2227.9300000000003</v>
      </c>
      <c r="L239" s="19">
        <f t="shared" si="4"/>
        <v>148705.29999999999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75133.47</f>
        <v>75133.47</v>
      </c>
      <c r="G240" s="18">
        <f>5914.17+382.5+1147.11+5645.35+2213.04+5771.35+108.53+406.35+446.62</f>
        <v>22035.02</v>
      </c>
      <c r="H240" s="18">
        <f>93+2063.63+392.46+898.68+637.24+412.97</f>
        <v>4497.9800000000005</v>
      </c>
      <c r="I240" s="18">
        <f>880.24+331.29</f>
        <v>1211.53</v>
      </c>
      <c r="J240" s="18"/>
      <c r="K240" s="18">
        <f>1552.85+287.47</f>
        <v>1840.32</v>
      </c>
      <c r="L240" s="19">
        <f t="shared" si="4"/>
        <v>104718.32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41337.96+80</f>
        <v>41417.96</v>
      </c>
      <c r="G242" s="18">
        <f>2488.88+134.1+3131.5+3743.25+59.71+223.57</f>
        <v>9781.0099999999984</v>
      </c>
      <c r="H242" s="18">
        <f>7039.85+6879.69+56.12+4419.36+962.44+303.38+128.02+429+219.11</f>
        <v>20436.97</v>
      </c>
      <c r="I242" s="18">
        <f>8154.18+27812.78+40578.17+246.44+504.93</f>
        <v>77296.5</v>
      </c>
      <c r="J242" s="18"/>
      <c r="K242" s="18">
        <f>10319.96</f>
        <v>10319.959999999999</v>
      </c>
      <c r="L242" s="19">
        <f t="shared" si="4"/>
        <v>159252.4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22364.64+435+80</f>
        <v>22879.64</v>
      </c>
      <c r="G243" s="18">
        <f>8008.46+215.62+1585.72+946.42+32.32+120.96+33.28+6.13</f>
        <v>10948.909999999998</v>
      </c>
      <c r="H243" s="18">
        <f>23876.8+3521.43+11910+992</f>
        <v>40300.229999999996</v>
      </c>
      <c r="I243" s="18">
        <f>137.01+8184.03</f>
        <v>8321.0399999999991</v>
      </c>
      <c r="J243" s="18">
        <f>18738.64</f>
        <v>18738.64</v>
      </c>
      <c r="K243" s="18"/>
      <c r="L243" s="19">
        <f t="shared" si="4"/>
        <v>101188.45999999999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175.23</f>
        <v>175.23</v>
      </c>
      <c r="I244" s="18"/>
      <c r="J244" s="18"/>
      <c r="K244" s="18"/>
      <c r="L244" s="19">
        <f>SUM(F244:K244)</f>
        <v>175.23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1156817.8700000001</v>
      </c>
      <c r="G246" s="41">
        <f t="shared" si="5"/>
        <v>404268.48000000004</v>
      </c>
      <c r="H246" s="41">
        <f t="shared" si="5"/>
        <v>401667.57999999996</v>
      </c>
      <c r="I246" s="41">
        <f t="shared" si="5"/>
        <v>156403.4</v>
      </c>
      <c r="J246" s="41">
        <f t="shared" si="5"/>
        <v>52350.02</v>
      </c>
      <c r="K246" s="41">
        <f t="shared" si="5"/>
        <v>21144.35</v>
      </c>
      <c r="L246" s="41">
        <f t="shared" si="5"/>
        <v>2192651.7000000002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3371151.16</v>
      </c>
      <c r="G256" s="41">
        <f t="shared" si="8"/>
        <v>1404652.62</v>
      </c>
      <c r="H256" s="41">
        <f t="shared" si="8"/>
        <v>985202.99999999988</v>
      </c>
      <c r="I256" s="41">
        <f t="shared" si="8"/>
        <v>396300.27</v>
      </c>
      <c r="J256" s="41">
        <f t="shared" si="8"/>
        <v>78710.03</v>
      </c>
      <c r="K256" s="41">
        <f t="shared" si="8"/>
        <v>47932.11</v>
      </c>
      <c r="L256" s="41">
        <f t="shared" si="8"/>
        <v>6283949.1900000004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70365.97</f>
        <v>70365.97</v>
      </c>
      <c r="L259" s="19">
        <f>SUM(F259:K259)</f>
        <v>70365.97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5187.54</v>
      </c>
      <c r="L260" s="19">
        <f>SUM(F260:K260)</f>
        <v>5187.54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16712.61</f>
        <v>16712.61</v>
      </c>
      <c r="L262" s="19">
        <f>SUM(F262:K262)</f>
        <v>16712.61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54500</v>
      </c>
      <c r="L267" s="19">
        <f t="shared" si="9"/>
        <v>54500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246766.12</v>
      </c>
      <c r="L269" s="41">
        <f t="shared" si="9"/>
        <v>246766.12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3371151.16</v>
      </c>
      <c r="G270" s="42">
        <f t="shared" si="11"/>
        <v>1404652.62</v>
      </c>
      <c r="H270" s="42">
        <f t="shared" si="11"/>
        <v>985202.99999999988</v>
      </c>
      <c r="I270" s="42">
        <f t="shared" si="11"/>
        <v>396300.27</v>
      </c>
      <c r="J270" s="42">
        <f t="shared" si="11"/>
        <v>78710.03</v>
      </c>
      <c r="K270" s="42">
        <f t="shared" si="11"/>
        <v>294698.23</v>
      </c>
      <c r="L270" s="42">
        <f t="shared" si="11"/>
        <v>6530715.3100000005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43508.37+41485.84</f>
        <v>84994.209999999992</v>
      </c>
      <c r="G275" s="18">
        <f>11063.84+233.32+3122.64+4841.82+6272.79+2024.45+3346.13</f>
        <v>30904.99</v>
      </c>
      <c r="H275" s="18"/>
      <c r="I275" s="18">
        <f>8049.94</f>
        <v>8049.94</v>
      </c>
      <c r="J275" s="18">
        <f>1869.45</f>
        <v>1869.45</v>
      </c>
      <c r="K275" s="18"/>
      <c r="L275" s="19">
        <f>SUM(F275:K275)</f>
        <v>125818.59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920.14+17509.78</f>
        <v>18429.919999999998</v>
      </c>
      <c r="G276" s="18">
        <f>1274.73+1086.79</f>
        <v>2361.52</v>
      </c>
      <c r="H276" s="18">
        <f>4985+7520.76</f>
        <v>12505.76</v>
      </c>
      <c r="I276" s="18">
        <f>144+2570.95</f>
        <v>2714.95</v>
      </c>
      <c r="J276" s="18">
        <f>930</f>
        <v>930</v>
      </c>
      <c r="K276" s="18">
        <v>200</v>
      </c>
      <c r="L276" s="19">
        <f>SUM(F276:K276)</f>
        <v>37142.149999999994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9187.5+4150</f>
        <v>13337.5</v>
      </c>
      <c r="G278" s="18"/>
      <c r="H278" s="18"/>
      <c r="I278" s="18">
        <f>2134.6</f>
        <v>2134.6</v>
      </c>
      <c r="J278" s="18"/>
      <c r="K278" s="18"/>
      <c r="L278" s="19">
        <f>SUM(F278:K278)</f>
        <v>15472.1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10352.49+10254.81+1875+2888.72</f>
        <v>25371.02</v>
      </c>
      <c r="I280" s="18"/>
      <c r="J280" s="18"/>
      <c r="K280" s="18"/>
      <c r="L280" s="19">
        <f t="shared" ref="L280:L286" si="12">SUM(F280:K280)</f>
        <v>25371.02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75</f>
        <v>75</v>
      </c>
      <c r="G281" s="18"/>
      <c r="H281" s="18">
        <f>2400</f>
        <v>2400</v>
      </c>
      <c r="I281" s="18"/>
      <c r="J281" s="18"/>
      <c r="K281" s="18"/>
      <c r="L281" s="19">
        <f t="shared" si="12"/>
        <v>2475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116836.62999999999</v>
      </c>
      <c r="G289" s="42">
        <f t="shared" si="13"/>
        <v>33266.51</v>
      </c>
      <c r="H289" s="42">
        <f t="shared" si="13"/>
        <v>40276.78</v>
      </c>
      <c r="I289" s="42">
        <f t="shared" si="13"/>
        <v>12899.49</v>
      </c>
      <c r="J289" s="42">
        <f t="shared" si="13"/>
        <v>2799.45</v>
      </c>
      <c r="K289" s="42">
        <f t="shared" si="13"/>
        <v>200</v>
      </c>
      <c r="L289" s="41">
        <f t="shared" si="13"/>
        <v>206278.86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13290.06</f>
        <v>13290.06</v>
      </c>
      <c r="G294" s="18">
        <f>1215.08+219.88+399.8</f>
        <v>1834.76</v>
      </c>
      <c r="H294" s="18"/>
      <c r="I294" s="18">
        <f>2263.49</f>
        <v>2263.4899999999998</v>
      </c>
      <c r="J294" s="18">
        <f>7477.79</f>
        <v>7477.79</v>
      </c>
      <c r="K294" s="18"/>
      <c r="L294" s="19">
        <f>SUM(F294:K294)</f>
        <v>24866.1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16288.68</f>
        <v>16288.68</v>
      </c>
      <c r="G295" s="18">
        <f>1248.59+1488.05</f>
        <v>2736.64</v>
      </c>
      <c r="H295" s="18">
        <f>6130</f>
        <v>6130</v>
      </c>
      <c r="I295" s="18">
        <f>1639.9</f>
        <v>1639.9</v>
      </c>
      <c r="J295" s="18"/>
      <c r="K295" s="18"/>
      <c r="L295" s="19">
        <f>SUM(F295:K295)</f>
        <v>26795.22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108.41</f>
        <v>108.41</v>
      </c>
      <c r="I300" s="18"/>
      <c r="J300" s="18"/>
      <c r="K300" s="18"/>
      <c r="L300" s="19">
        <f t="shared" si="14"/>
        <v>108.41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29578.739999999998</v>
      </c>
      <c r="G308" s="42">
        <f t="shared" si="15"/>
        <v>4571.3999999999996</v>
      </c>
      <c r="H308" s="42">
        <f t="shared" si="15"/>
        <v>6238.41</v>
      </c>
      <c r="I308" s="42">
        <f t="shared" si="15"/>
        <v>3903.39</v>
      </c>
      <c r="J308" s="42">
        <f t="shared" si="15"/>
        <v>7477.79</v>
      </c>
      <c r="K308" s="42">
        <f t="shared" si="15"/>
        <v>0</v>
      </c>
      <c r="L308" s="41">
        <f t="shared" si="15"/>
        <v>51769.73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>
        <f>3294</f>
        <v>3294</v>
      </c>
      <c r="L313" s="19">
        <f>SUM(F313:K313)</f>
        <v>3294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12130.24</f>
        <v>12130.24</v>
      </c>
      <c r="G314" s="18">
        <f>927.92</f>
        <v>927.92</v>
      </c>
      <c r="H314" s="18">
        <f>2255</f>
        <v>2255</v>
      </c>
      <c r="I314" s="18">
        <f>2226.43</f>
        <v>2226.4299999999998</v>
      </c>
      <c r="J314" s="18"/>
      <c r="K314" s="18"/>
      <c r="L314" s="19">
        <f>SUM(F314:K314)</f>
        <v>17539.59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1500</f>
        <v>1500</v>
      </c>
      <c r="G318" s="18"/>
      <c r="H318" s="18">
        <f>9000+11000+1505.5+1846.5</f>
        <v>23352</v>
      </c>
      <c r="I318" s="18">
        <f>226.47</f>
        <v>226.47</v>
      </c>
      <c r="J318" s="18"/>
      <c r="K318" s="18"/>
      <c r="L318" s="19">
        <f t="shared" ref="L318:L324" si="16">SUM(F318:K318)</f>
        <v>25078.47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3050</f>
        <v>3050</v>
      </c>
      <c r="G319" s="18"/>
      <c r="H319" s="18">
        <f>5825.86+5415.33</f>
        <v>11241.189999999999</v>
      </c>
      <c r="I319" s="18">
        <f>500</f>
        <v>500</v>
      </c>
      <c r="J319" s="18"/>
      <c r="K319" s="18"/>
      <c r="L319" s="19">
        <f t="shared" si="16"/>
        <v>14791.189999999999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>
        <f>750</f>
        <v>750</v>
      </c>
      <c r="I323" s="18"/>
      <c r="J323" s="18"/>
      <c r="K323" s="18"/>
      <c r="L323" s="19">
        <f t="shared" si="16"/>
        <v>750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400+200</f>
        <v>600</v>
      </c>
      <c r="I324" s="18"/>
      <c r="J324" s="18"/>
      <c r="K324" s="18"/>
      <c r="L324" s="19">
        <f t="shared" si="16"/>
        <v>600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16680.239999999998</v>
      </c>
      <c r="G327" s="42">
        <f t="shared" si="17"/>
        <v>927.92</v>
      </c>
      <c r="H327" s="42">
        <f t="shared" si="17"/>
        <v>38198.19</v>
      </c>
      <c r="I327" s="42">
        <f t="shared" si="17"/>
        <v>2952.8999999999996</v>
      </c>
      <c r="J327" s="42">
        <f t="shared" si="17"/>
        <v>0</v>
      </c>
      <c r="K327" s="42">
        <f t="shared" si="17"/>
        <v>3294</v>
      </c>
      <c r="L327" s="41">
        <f t="shared" si="17"/>
        <v>62053.25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163095.60999999999</v>
      </c>
      <c r="G337" s="41">
        <f t="shared" si="20"/>
        <v>38765.83</v>
      </c>
      <c r="H337" s="41">
        <f t="shared" si="20"/>
        <v>84713.38</v>
      </c>
      <c r="I337" s="41">
        <f t="shared" si="20"/>
        <v>19755.78</v>
      </c>
      <c r="J337" s="41">
        <f t="shared" si="20"/>
        <v>10277.24</v>
      </c>
      <c r="K337" s="41">
        <f t="shared" si="20"/>
        <v>3494</v>
      </c>
      <c r="L337" s="41">
        <f t="shared" si="20"/>
        <v>320101.83999999997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163095.60999999999</v>
      </c>
      <c r="G351" s="41">
        <f>G337</f>
        <v>38765.83</v>
      </c>
      <c r="H351" s="41">
        <f>H337</f>
        <v>84713.38</v>
      </c>
      <c r="I351" s="41">
        <f>I337</f>
        <v>19755.78</v>
      </c>
      <c r="J351" s="41">
        <f>J337</f>
        <v>10277.24</v>
      </c>
      <c r="K351" s="47">
        <f>K337+K350</f>
        <v>3494</v>
      </c>
      <c r="L351" s="41">
        <f>L337+L350</f>
        <v>320101.83999999997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1921.88+69219.2-8049.94</f>
        <v>63091.14</v>
      </c>
      <c r="I357" s="18">
        <f>1108.11</f>
        <v>1108.1099999999999</v>
      </c>
      <c r="J357" s="18"/>
      <c r="K357" s="18"/>
      <c r="L357" s="13">
        <f>SUM(F357:K357)</f>
        <v>64199.25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f>1297.25+46722.95</f>
        <v>48020.2</v>
      </c>
      <c r="I358" s="18">
        <f>747.99</f>
        <v>747.99</v>
      </c>
      <c r="J358" s="18"/>
      <c r="K358" s="18"/>
      <c r="L358" s="19">
        <f>SUM(F358:K358)</f>
        <v>48768.189999999995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1585.56+57105.85</f>
        <v>58691.409999999996</v>
      </c>
      <c r="I359" s="18">
        <f>914.19</f>
        <v>914.19</v>
      </c>
      <c r="J359" s="18"/>
      <c r="K359" s="18"/>
      <c r="L359" s="19">
        <f>SUM(F359:K359)</f>
        <v>59605.599999999999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169802.75</v>
      </c>
      <c r="I361" s="47">
        <f t="shared" si="22"/>
        <v>2770.29</v>
      </c>
      <c r="J361" s="47">
        <f t="shared" si="22"/>
        <v>0</v>
      </c>
      <c r="K361" s="47">
        <f t="shared" si="22"/>
        <v>0</v>
      </c>
      <c r="L361" s="47">
        <f t="shared" si="22"/>
        <v>172573.04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1108.11</f>
        <v>1108.1099999999999</v>
      </c>
      <c r="G367" s="63">
        <f>747.99</f>
        <v>747.99</v>
      </c>
      <c r="H367" s="63">
        <f>914.19</f>
        <v>914.19</v>
      </c>
      <c r="I367" s="56">
        <f>SUM(F367:H367)</f>
        <v>2770.29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1108.1099999999999</v>
      </c>
      <c r="G368" s="47">
        <f>SUM(G366:G367)</f>
        <v>747.99</v>
      </c>
      <c r="H368" s="47">
        <f>SUM(H366:H367)</f>
        <v>914.19</v>
      </c>
      <c r="I368" s="47">
        <f>SUM(I366:I367)</f>
        <v>2770.29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4500</v>
      </c>
      <c r="I375" s="18"/>
      <c r="J375" s="18"/>
      <c r="K375" s="18"/>
      <c r="L375" s="13">
        <f t="shared" si="23"/>
        <v>4500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118836.59</v>
      </c>
      <c r="L380" s="13">
        <f t="shared" si="23"/>
        <v>118836.59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4500</v>
      </c>
      <c r="I381" s="41">
        <f t="shared" si="24"/>
        <v>0</v>
      </c>
      <c r="J381" s="47">
        <f t="shared" si="24"/>
        <v>0</v>
      </c>
      <c r="K381" s="47">
        <f t="shared" si="24"/>
        <v>118836.59</v>
      </c>
      <c r="L381" s="47">
        <f t="shared" si="24"/>
        <v>123336.59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49.98</v>
      </c>
      <c r="I395" s="18"/>
      <c r="J395" s="24" t="s">
        <v>289</v>
      </c>
      <c r="K395" s="24" t="s">
        <v>289</v>
      </c>
      <c r="L395" s="56">
        <f t="shared" si="26"/>
        <v>50049.98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10000</v>
      </c>
      <c r="H396" s="18">
        <v>74.989999999999995</v>
      </c>
      <c r="I396" s="18"/>
      <c r="J396" s="24" t="s">
        <v>289</v>
      </c>
      <c r="K396" s="24" t="s">
        <v>289</v>
      </c>
      <c r="L396" s="56">
        <f t="shared" si="26"/>
        <v>10074.99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10000</v>
      </c>
      <c r="H398" s="18">
        <v>8.33</v>
      </c>
      <c r="I398" s="18"/>
      <c r="J398" s="24" t="s">
        <v>289</v>
      </c>
      <c r="K398" s="24" t="s">
        <v>289</v>
      </c>
      <c r="L398" s="56">
        <f t="shared" si="26"/>
        <v>10008.33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f>5000+20000+5000</f>
        <v>30000</v>
      </c>
      <c r="H399" s="18">
        <f>5.14+12.63+5.93</f>
        <v>23.7</v>
      </c>
      <c r="I399" s="18"/>
      <c r="J399" s="24" t="s">
        <v>289</v>
      </c>
      <c r="K399" s="24" t="s">
        <v>289</v>
      </c>
      <c r="L399" s="56">
        <f t="shared" si="26"/>
        <v>30023.7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157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100157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157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100157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f>9500+2095+4587.44+42039.59+76369.01+7235.76</f>
        <v>141826.79999999999</v>
      </c>
      <c r="I421" s="18"/>
      <c r="J421" s="18"/>
      <c r="K421" s="18"/>
      <c r="L421" s="56">
        <f t="shared" si="29"/>
        <v>141826.79999999999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150000</v>
      </c>
      <c r="L422" s="56">
        <f t="shared" si="29"/>
        <v>150000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>
        <v>2290</v>
      </c>
      <c r="K424" s="18"/>
      <c r="L424" s="56">
        <f t="shared" si="29"/>
        <v>2290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>
        <f>28000</f>
        <v>28000</v>
      </c>
      <c r="K425" s="18"/>
      <c r="L425" s="56">
        <f t="shared" si="29"/>
        <v>28000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141826.79999999999</v>
      </c>
      <c r="I426" s="47">
        <f t="shared" si="30"/>
        <v>0</v>
      </c>
      <c r="J426" s="47">
        <f t="shared" si="30"/>
        <v>30290</v>
      </c>
      <c r="K426" s="47">
        <f t="shared" si="30"/>
        <v>150000</v>
      </c>
      <c r="L426" s="47">
        <f t="shared" si="30"/>
        <v>322116.8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141826.79999999999</v>
      </c>
      <c r="I433" s="47">
        <f t="shared" si="32"/>
        <v>0</v>
      </c>
      <c r="J433" s="47">
        <f t="shared" si="32"/>
        <v>30290</v>
      </c>
      <c r="K433" s="47">
        <f t="shared" si="32"/>
        <v>150000</v>
      </c>
      <c r="L433" s="47">
        <f t="shared" si="32"/>
        <v>322116.8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112092.19</v>
      </c>
      <c r="H438" s="18"/>
      <c r="I438" s="56">
        <f t="shared" ref="I438:I444" si="33">SUM(F438:H438)</f>
        <v>112092.19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112092.19</v>
      </c>
      <c r="H445" s="13">
        <f>SUM(H438:H444)</f>
        <v>0</v>
      </c>
      <c r="I445" s="13">
        <f>SUM(I438:I444)</f>
        <v>112092.19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112092.19</f>
        <v>112092.19</v>
      </c>
      <c r="H458" s="18"/>
      <c r="I458" s="56">
        <f t="shared" si="34"/>
        <v>112092.19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112092.19</v>
      </c>
      <c r="H459" s="83">
        <f>SUM(H453:H458)</f>
        <v>0</v>
      </c>
      <c r="I459" s="83">
        <f>SUM(I453:I458)</f>
        <v>112092.19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112092.19</v>
      </c>
      <c r="H460" s="42">
        <f>H451+H459</f>
        <v>0</v>
      </c>
      <c r="I460" s="42">
        <f>I451+I459</f>
        <v>112092.19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227097.48</v>
      </c>
      <c r="G464" s="18">
        <v>9043.67</v>
      </c>
      <c r="H464" s="18">
        <v>10537.44</v>
      </c>
      <c r="I464" s="18">
        <v>118836.59</v>
      </c>
      <c r="J464" s="18">
        <v>334051.99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6615277.59</f>
        <v>6615277.5899999999</v>
      </c>
      <c r="G467" s="18">
        <v>172573.04</v>
      </c>
      <c r="H467" s="18">
        <f>350134.66</f>
        <v>350134.66</v>
      </c>
      <c r="I467" s="18"/>
      <c r="J467" s="18">
        <v>100157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6615277.5899999999</v>
      </c>
      <c r="G469" s="53">
        <f>SUM(G467:G468)</f>
        <v>172573.04</v>
      </c>
      <c r="H469" s="53">
        <f>SUM(H467:H468)</f>
        <v>350134.66</v>
      </c>
      <c r="I469" s="53">
        <f>SUM(I467:I468)</f>
        <v>0</v>
      </c>
      <c r="J469" s="53">
        <f>SUM(J467:J468)</f>
        <v>100157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6376259.09+150000+3726.72+279.78+449.72</f>
        <v>6530715.3099999996</v>
      </c>
      <c r="G471" s="18">
        <v>172573.04</v>
      </c>
      <c r="H471" s="18">
        <v>320101.84000000003</v>
      </c>
      <c r="I471" s="18">
        <v>123336.59</v>
      </c>
      <c r="J471" s="18">
        <v>322116.8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6530715.3099999996</v>
      </c>
      <c r="G473" s="53">
        <f>SUM(G471:G472)</f>
        <v>172573.04</v>
      </c>
      <c r="H473" s="53">
        <f>SUM(H471:H472)</f>
        <v>320101.84000000003</v>
      </c>
      <c r="I473" s="53">
        <f>SUM(I471:I472)</f>
        <v>123336.59</v>
      </c>
      <c r="J473" s="53">
        <f>SUM(J471:J472)</f>
        <v>322116.8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311659.76000000071</v>
      </c>
      <c r="G475" s="53">
        <f>(G464+G469)- G473</f>
        <v>9043.6700000000128</v>
      </c>
      <c r="H475" s="53">
        <f>(H464+H469)- H473</f>
        <v>40570.259999999951</v>
      </c>
      <c r="I475" s="53">
        <f>(I464+I469)- I473</f>
        <v>-4500</v>
      </c>
      <c r="J475" s="53">
        <f>(J464+J469)- J473</f>
        <v>112092.19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1.78E-2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403299.75</v>
      </c>
      <c r="G494" s="18"/>
      <c r="H494" s="18"/>
      <c r="I494" s="18"/>
      <c r="J494" s="18"/>
      <c r="K494" s="53">
        <f>SUM(F494:J494)</f>
        <v>403299.75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115865.1</v>
      </c>
      <c r="G496" s="18"/>
      <c r="H496" s="18"/>
      <c r="I496" s="18"/>
      <c r="J496" s="18"/>
      <c r="K496" s="53">
        <f t="shared" si="35"/>
        <v>115865.1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287434.65000000002</v>
      </c>
      <c r="G497" s="205"/>
      <c r="H497" s="205"/>
      <c r="I497" s="205"/>
      <c r="J497" s="205"/>
      <c r="K497" s="206">
        <f t="shared" si="35"/>
        <v>287434.65000000002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9478.89</v>
      </c>
      <c r="G498" s="18"/>
      <c r="H498" s="18"/>
      <c r="I498" s="18"/>
      <c r="J498" s="18"/>
      <c r="K498" s="53">
        <f t="shared" si="35"/>
        <v>9478.89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296913.54000000004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296913.54000000004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f>35161.44+35488.52</f>
        <v>70649.959999999992</v>
      </c>
      <c r="G500" s="205"/>
      <c r="H500" s="205"/>
      <c r="I500" s="205"/>
      <c r="J500" s="205"/>
      <c r="K500" s="206">
        <f t="shared" si="35"/>
        <v>70649.959999999992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1952.76+1625.68</f>
        <v>3578.44</v>
      </c>
      <c r="G501" s="18"/>
      <c r="H501" s="18"/>
      <c r="I501" s="18"/>
      <c r="J501" s="18"/>
      <c r="K501" s="53">
        <f t="shared" si="35"/>
        <v>3578.44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74228.399999999994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74228.399999999994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206883.77</v>
      </c>
      <c r="G520" s="18">
        <v>97215.16</v>
      </c>
      <c r="H520" s="18">
        <v>217585.57</v>
      </c>
      <c r="I520" s="18">
        <v>3459.73</v>
      </c>
      <c r="J520" s="18">
        <v>1001.98</v>
      </c>
      <c r="K520" s="18">
        <v>621.95000000000005</v>
      </c>
      <c r="L520" s="88">
        <f>SUM(F520:K520)</f>
        <v>526768.15999999992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140195.24</v>
      </c>
      <c r="G521" s="18">
        <v>66001.66</v>
      </c>
      <c r="H521" s="18">
        <v>32964.449999999997</v>
      </c>
      <c r="I521" s="18">
        <v>2558.88</v>
      </c>
      <c r="J521" s="18">
        <v>2331.88</v>
      </c>
      <c r="K521" s="18"/>
      <c r="L521" s="88">
        <f>SUM(F521:K521)</f>
        <v>244052.11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116068.41</v>
      </c>
      <c r="G522" s="18">
        <v>29754.41</v>
      </c>
      <c r="H522" s="18">
        <v>189685.55</v>
      </c>
      <c r="I522" s="18">
        <v>5755.82</v>
      </c>
      <c r="J522" s="18">
        <v>198.97</v>
      </c>
      <c r="K522" s="18"/>
      <c r="L522" s="88">
        <f>SUM(F522:K522)</f>
        <v>341463.16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463147.42000000004</v>
      </c>
      <c r="G523" s="108">
        <f t="shared" ref="G523:L523" si="36">SUM(G520:G522)</f>
        <v>192971.23</v>
      </c>
      <c r="H523" s="108">
        <f t="shared" si="36"/>
        <v>440235.57</v>
      </c>
      <c r="I523" s="108">
        <f t="shared" si="36"/>
        <v>11774.43</v>
      </c>
      <c r="J523" s="108">
        <f t="shared" si="36"/>
        <v>3532.83</v>
      </c>
      <c r="K523" s="108">
        <f t="shared" si="36"/>
        <v>621.95000000000005</v>
      </c>
      <c r="L523" s="89">
        <f t="shared" si="36"/>
        <v>1112283.43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45899.31</v>
      </c>
      <c r="G525" s="18">
        <v>22946.93</v>
      </c>
      <c r="H525" s="18">
        <v>109510.99</v>
      </c>
      <c r="I525" s="18">
        <v>1868.31</v>
      </c>
      <c r="J525" s="18"/>
      <c r="K525" s="18">
        <v>1165</v>
      </c>
      <c r="L525" s="88">
        <f>SUM(F525:K525)</f>
        <v>181390.53999999998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15992.06</v>
      </c>
      <c r="G526" s="18">
        <v>4808.42</v>
      </c>
      <c r="H526" s="18">
        <v>11025</v>
      </c>
      <c r="I526" s="18">
        <v>444.64</v>
      </c>
      <c r="J526" s="18"/>
      <c r="K526" s="18"/>
      <c r="L526" s="88">
        <f>SUM(F526:K526)</f>
        <v>32270.12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20501.3</v>
      </c>
      <c r="G527" s="18">
        <v>6064.84</v>
      </c>
      <c r="H527" s="18">
        <v>1627.5</v>
      </c>
      <c r="I527" s="18">
        <v>408.65</v>
      </c>
      <c r="J527" s="18"/>
      <c r="K527" s="18"/>
      <c r="L527" s="88">
        <f>SUM(F527:K527)</f>
        <v>28602.29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82392.67</v>
      </c>
      <c r="G528" s="89">
        <f t="shared" ref="G528:L528" si="37">SUM(G525:G527)</f>
        <v>33820.19</v>
      </c>
      <c r="H528" s="89">
        <f t="shared" si="37"/>
        <v>122163.49</v>
      </c>
      <c r="I528" s="89">
        <f t="shared" si="37"/>
        <v>2721.6</v>
      </c>
      <c r="J528" s="89">
        <f t="shared" si="37"/>
        <v>0</v>
      </c>
      <c r="K528" s="89">
        <f t="shared" si="37"/>
        <v>1165</v>
      </c>
      <c r="L528" s="89">
        <f t="shared" si="37"/>
        <v>242262.94999999998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25200</v>
      </c>
      <c r="G530" s="18">
        <v>6350.4</v>
      </c>
      <c r="H530" s="18"/>
      <c r="I530" s="18"/>
      <c r="J530" s="18"/>
      <c r="K530" s="18"/>
      <c r="L530" s="88">
        <f>SUM(F530:K530)</f>
        <v>31550.400000000001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17010</v>
      </c>
      <c r="G531" s="18">
        <v>4286.5200000000004</v>
      </c>
      <c r="H531" s="18"/>
      <c r="I531" s="18"/>
      <c r="J531" s="18"/>
      <c r="K531" s="18"/>
      <c r="L531" s="88">
        <f>SUM(F531:K531)</f>
        <v>21296.52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20790</v>
      </c>
      <c r="G532" s="18">
        <v>5239.08</v>
      </c>
      <c r="H532" s="18"/>
      <c r="I532" s="18"/>
      <c r="J532" s="18"/>
      <c r="K532" s="18"/>
      <c r="L532" s="88">
        <f>SUM(F532:K532)</f>
        <v>26029.08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63000</v>
      </c>
      <c r="G533" s="89">
        <f t="shared" ref="G533:L533" si="38">SUM(G530:G532)</f>
        <v>15876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78876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5860.66</v>
      </c>
      <c r="G540" s="18">
        <v>4846.75</v>
      </c>
      <c r="H540" s="18">
        <v>23381.58</v>
      </c>
      <c r="I540" s="18"/>
      <c r="J540" s="18"/>
      <c r="K540" s="18"/>
      <c r="L540" s="88">
        <f>SUM(F540:K540)</f>
        <v>34088.990000000005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3870</v>
      </c>
      <c r="G541" s="18">
        <v>322.61</v>
      </c>
      <c r="H541" s="18">
        <v>1902.31</v>
      </c>
      <c r="I541" s="18">
        <v>3614.13</v>
      </c>
      <c r="J541" s="18"/>
      <c r="K541" s="18"/>
      <c r="L541" s="88">
        <f>SUM(F541:K541)</f>
        <v>9709.0499999999993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9730.66</v>
      </c>
      <c r="G543" s="194">
        <f t="shared" ref="G543:L543" si="40">SUM(G540:G542)</f>
        <v>5169.3599999999997</v>
      </c>
      <c r="H543" s="194">
        <f t="shared" si="40"/>
        <v>25283.890000000003</v>
      </c>
      <c r="I543" s="194">
        <f t="shared" si="40"/>
        <v>3614.13</v>
      </c>
      <c r="J543" s="194">
        <f t="shared" si="40"/>
        <v>0</v>
      </c>
      <c r="K543" s="194">
        <f t="shared" si="40"/>
        <v>0</v>
      </c>
      <c r="L543" s="194">
        <f t="shared" si="40"/>
        <v>43798.040000000008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618270.75000000012</v>
      </c>
      <c r="G544" s="89">
        <f t="shared" ref="G544:L544" si="41">G523+G528+G533+G538+G543</f>
        <v>247836.78</v>
      </c>
      <c r="H544" s="89">
        <f t="shared" si="41"/>
        <v>587682.95000000007</v>
      </c>
      <c r="I544" s="89">
        <f t="shared" si="41"/>
        <v>18110.16</v>
      </c>
      <c r="J544" s="89">
        <f t="shared" si="41"/>
        <v>3532.83</v>
      </c>
      <c r="K544" s="89">
        <f t="shared" si="41"/>
        <v>1786.95</v>
      </c>
      <c r="L544" s="89">
        <f t="shared" si="41"/>
        <v>1477220.42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526768.15999999992</v>
      </c>
      <c r="G548" s="87">
        <f>L525</f>
        <v>181390.53999999998</v>
      </c>
      <c r="H548" s="87">
        <f>L530</f>
        <v>31550.400000000001</v>
      </c>
      <c r="I548" s="87">
        <f>L535</f>
        <v>0</v>
      </c>
      <c r="J548" s="87">
        <f>L540</f>
        <v>34088.990000000005</v>
      </c>
      <c r="K548" s="87">
        <f>SUM(F548:J548)</f>
        <v>773798.09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244052.11</v>
      </c>
      <c r="G549" s="87">
        <f>L526</f>
        <v>32270.12</v>
      </c>
      <c r="H549" s="87">
        <f>L531</f>
        <v>21296.52</v>
      </c>
      <c r="I549" s="87">
        <f>L536</f>
        <v>0</v>
      </c>
      <c r="J549" s="87">
        <f>L541</f>
        <v>9709.0499999999993</v>
      </c>
      <c r="K549" s="87">
        <f>SUM(F549:J549)</f>
        <v>307327.8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341463.16</v>
      </c>
      <c r="G550" s="87">
        <f>L527</f>
        <v>28602.29</v>
      </c>
      <c r="H550" s="87">
        <f>L532</f>
        <v>26029.08</v>
      </c>
      <c r="I550" s="87">
        <f>L537</f>
        <v>0</v>
      </c>
      <c r="J550" s="87">
        <f>L542</f>
        <v>0</v>
      </c>
      <c r="K550" s="87">
        <f>SUM(F550:J550)</f>
        <v>396094.52999999997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1112283.43</v>
      </c>
      <c r="G551" s="89">
        <f t="shared" si="42"/>
        <v>242262.94999999998</v>
      </c>
      <c r="H551" s="89">
        <f t="shared" si="42"/>
        <v>78876</v>
      </c>
      <c r="I551" s="89">
        <f t="shared" si="42"/>
        <v>0</v>
      </c>
      <c r="J551" s="89">
        <f t="shared" si="42"/>
        <v>43798.040000000008</v>
      </c>
      <c r="K551" s="89">
        <f t="shared" si="42"/>
        <v>1477220.42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>
        <f>335.75</f>
        <v>335.75</v>
      </c>
      <c r="L566" s="88">
        <f>SUM(F566:K566)</f>
        <v>335.75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>
        <f>1029.05</f>
        <v>1029.05</v>
      </c>
      <c r="L567" s="88">
        <f>SUM(F567:K567)</f>
        <v>1029.05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1364.8</v>
      </c>
      <c r="L569" s="194">
        <f t="shared" si="45"/>
        <v>1364.8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1364.8</v>
      </c>
      <c r="L570" s="89">
        <f t="shared" si="46"/>
        <v>1364.8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69154.3</f>
        <v>69154.3</v>
      </c>
      <c r="G578" s="18">
        <f>23862.8</f>
        <v>23862.799999999999</v>
      </c>
      <c r="H578" s="18">
        <f>13433</f>
        <v>13433</v>
      </c>
      <c r="I578" s="87">
        <f t="shared" si="47"/>
        <v>106450.1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11078.28+47720.88</f>
        <v>58799.159999999996</v>
      </c>
      <c r="G581" s="18"/>
      <c r="H581" s="18">
        <f>44616.31</f>
        <v>44616.31</v>
      </c>
      <c r="I581" s="87">
        <f t="shared" si="47"/>
        <v>103415.47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f>73127.04</f>
        <v>73127.039999999994</v>
      </c>
      <c r="G582" s="18"/>
      <c r="H582" s="18">
        <f>104759.91</f>
        <v>104759.91</v>
      </c>
      <c r="I582" s="87">
        <f t="shared" si="47"/>
        <v>177886.95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f>30762.15</f>
        <v>30762.15</v>
      </c>
      <c r="I583" s="87">
        <f t="shared" si="47"/>
        <v>30762.15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3410+260.82+6.23+23.31+3103.8+28941.6+86.21+7102.31</f>
        <v>42934.279999999992</v>
      </c>
      <c r="I590" s="18">
        <f>900+68.85+19535.6+143.85</f>
        <v>20648.299999999996</v>
      </c>
      <c r="J590" s="18">
        <f>23876.8</f>
        <v>23876.799999999999</v>
      </c>
      <c r="K590" s="104">
        <f t="shared" ref="K590:K596" si="48">SUM(H590:J590)</f>
        <v>87459.37999999999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5860.66+3843.94+103.52+389.16+469.96+8.47+31.7+23381.58</f>
        <v>34088.990000000005</v>
      </c>
      <c r="I591" s="18">
        <f>3870+296.09+5.59+20.93+1902.31+95.28+3518.85</f>
        <v>9709.0499999999993</v>
      </c>
      <c r="J591" s="18"/>
      <c r="K591" s="104">
        <f t="shared" si="48"/>
        <v>43798.040000000008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63855.25</f>
        <v>63855.25</v>
      </c>
      <c r="K592" s="104">
        <f t="shared" si="48"/>
        <v>63855.25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5357</f>
        <v>5357</v>
      </c>
      <c r="J593" s="18">
        <f>435+33.28+11910</f>
        <v>12378.28</v>
      </c>
      <c r="K593" s="104">
        <f t="shared" si="48"/>
        <v>17735.28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14247.12-10030.87</f>
        <v>4216.25</v>
      </c>
      <c r="I594" s="18">
        <v>10030.870000000001</v>
      </c>
      <c r="J594" s="18">
        <f>80+6.13+992</f>
        <v>1078.1300000000001</v>
      </c>
      <c r="K594" s="104">
        <f t="shared" si="48"/>
        <v>15325.25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81239.51999999999</v>
      </c>
      <c r="I597" s="108">
        <f>SUM(I590:I596)</f>
        <v>45745.219999999994</v>
      </c>
      <c r="J597" s="108">
        <f>SUM(J590:J596)</f>
        <v>101188.46</v>
      </c>
      <c r="K597" s="108">
        <f>SUM(K590:K596)</f>
        <v>228173.19999999998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10499.49+71.98+2626.62+105.99+4716.45</f>
        <v>18020.53</v>
      </c>
      <c r="I603" s="18">
        <f>8807.05+2331.88+7477.79</f>
        <v>18616.72</v>
      </c>
      <c r="J603" s="18">
        <f>30290.9+213.96+21845.16</f>
        <v>52350.020000000004</v>
      </c>
      <c r="K603" s="104">
        <f>SUM(H603:J603)</f>
        <v>88987.27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18020.53</v>
      </c>
      <c r="I604" s="108">
        <f>SUM(I601:I603)</f>
        <v>18616.72</v>
      </c>
      <c r="J604" s="108">
        <f>SUM(J601:J603)</f>
        <v>52350.020000000004</v>
      </c>
      <c r="K604" s="108">
        <f>SUM(K601:K603)</f>
        <v>88987.27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10158.15+5895.9+9187.5</f>
        <v>25241.55</v>
      </c>
      <c r="G610" s="18">
        <f>770.19+345.05+468.92+14.67+54.94+1129.57+96.4+1400.68</f>
        <v>4280.42</v>
      </c>
      <c r="H610" s="18">
        <f>136</f>
        <v>136</v>
      </c>
      <c r="I610" s="18"/>
      <c r="J610" s="18"/>
      <c r="K610" s="18"/>
      <c r="L610" s="88">
        <f>SUM(F610:K610)</f>
        <v>29657.97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4780+4567.5</f>
        <v>9347.5</v>
      </c>
      <c r="G611" s="18">
        <f>357.5+230.86+321.58+6.9+25.85+343.42+475.54</f>
        <v>1761.65</v>
      </c>
      <c r="H611" s="18"/>
      <c r="I611" s="18"/>
      <c r="J611" s="18"/>
      <c r="K611" s="18"/>
      <c r="L611" s="88">
        <f>SUM(F611:K611)</f>
        <v>11109.15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1425+5065</f>
        <v>6490</v>
      </c>
      <c r="G612" s="18">
        <f>109.01+190.83+2.06+7.71+379.2+540.56</f>
        <v>1229.3699999999999</v>
      </c>
      <c r="H612" s="18">
        <f>733.58</f>
        <v>733.58</v>
      </c>
      <c r="I612" s="18"/>
      <c r="J612" s="18"/>
      <c r="K612" s="18"/>
      <c r="L612" s="88">
        <f>SUM(F612:K612)</f>
        <v>8452.9500000000007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41079.050000000003</v>
      </c>
      <c r="G613" s="108">
        <f t="shared" si="49"/>
        <v>7271.44</v>
      </c>
      <c r="H613" s="108">
        <f t="shared" si="49"/>
        <v>869.58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49220.070000000007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853835.01</v>
      </c>
      <c r="H616" s="109">
        <f>SUM(F51)</f>
        <v>853835.01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9157.77</v>
      </c>
      <c r="H617" s="109">
        <f>SUM(G51)</f>
        <v>9157.77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199340.32</v>
      </c>
      <c r="H618" s="109">
        <f>SUM(H51)</f>
        <v>199340.32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-7.2759576141834259E-12</v>
      </c>
      <c r="I619" s="121" t="s">
        <v>904</v>
      </c>
      <c r="J619" s="109">
        <f>G619-H619</f>
        <v>7.2759576141834259E-12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112092.19</v>
      </c>
      <c r="H620" s="109">
        <f>SUM(J51)</f>
        <v>112092.19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311659.76</v>
      </c>
      <c r="H621" s="109">
        <f>F475</f>
        <v>311659.76000000071</v>
      </c>
      <c r="I621" s="121" t="s">
        <v>101</v>
      </c>
      <c r="J621" s="109">
        <f t="shared" ref="J621:J654" si="50">G621-H621</f>
        <v>-6.9849193096160889E-10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9043.67</v>
      </c>
      <c r="H622" s="109">
        <f>G475</f>
        <v>9043.6700000000128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40570.26</v>
      </c>
      <c r="H623" s="109">
        <f>H475</f>
        <v>40570.259999999951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-4500.0000000000073</v>
      </c>
      <c r="H624" s="109">
        <f>I475</f>
        <v>-4500</v>
      </c>
      <c r="I624" s="121" t="s">
        <v>104</v>
      </c>
      <c r="J624" s="109">
        <f t="shared" si="50"/>
        <v>-7.2759576141834259E-12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112092.19</v>
      </c>
      <c r="H625" s="109">
        <f>J475</f>
        <v>112092.19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6615277.5900000008</v>
      </c>
      <c r="H626" s="104">
        <f>SUM(F467)</f>
        <v>6615277.5899999999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172573.04000000004</v>
      </c>
      <c r="H627" s="104">
        <f>SUM(G467)</f>
        <v>172573.04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350134.66000000003</v>
      </c>
      <c r="H628" s="104">
        <f>SUM(H467)</f>
        <v>350134.66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100157</v>
      </c>
      <c r="H630" s="104">
        <f>SUM(J467)</f>
        <v>100157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6530715.3100000005</v>
      </c>
      <c r="H631" s="104">
        <f>SUM(F471)</f>
        <v>6530715.3099999996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320101.83999999997</v>
      </c>
      <c r="H632" s="104">
        <f>SUM(H471)</f>
        <v>320101.84000000003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2770.29</v>
      </c>
      <c r="H633" s="104">
        <f>I368</f>
        <v>2770.29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172573.04</v>
      </c>
      <c r="H634" s="104">
        <f>SUM(G471)</f>
        <v>172573.04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123336.59</v>
      </c>
      <c r="H635" s="104">
        <f>SUM(I471)</f>
        <v>123336.59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100157</v>
      </c>
      <c r="H636" s="164">
        <f>SUM(J467)</f>
        <v>100157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322116.8</v>
      </c>
      <c r="H637" s="164">
        <f>SUM(J471)</f>
        <v>322116.8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112092.19</v>
      </c>
      <c r="H639" s="104">
        <f>SUM(G460)</f>
        <v>112092.19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112092.19</v>
      </c>
      <c r="H641" s="104">
        <f>SUM(I460)</f>
        <v>112092.19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157</v>
      </c>
      <c r="H643" s="104">
        <f>H407</f>
        <v>157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100157</v>
      </c>
      <c r="H645" s="104">
        <f>L407</f>
        <v>100157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228173.19999999998</v>
      </c>
      <c r="H646" s="104">
        <f>L207+L225+L243</f>
        <v>228173.2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88987.27</v>
      </c>
      <c r="H647" s="104">
        <f>(J256+J337)-(J254+J335)</f>
        <v>88987.27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81239.520000000004</v>
      </c>
      <c r="H648" s="104">
        <f>H597</f>
        <v>81239.51999999999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45745.22</v>
      </c>
      <c r="H649" s="104">
        <f>I597</f>
        <v>45745.219999999994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101188.45999999999</v>
      </c>
      <c r="H650" s="104">
        <f>J597</f>
        <v>101188.46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16712.61</v>
      </c>
      <c r="H651" s="104">
        <f>K262+K344</f>
        <v>16712.61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2935099.43</v>
      </c>
      <c r="G659" s="19">
        <f>(L228+L308+L358)</f>
        <v>1527214.0899999999</v>
      </c>
      <c r="H659" s="19">
        <f>(L246+L327+L359)</f>
        <v>2314310.5500000003</v>
      </c>
      <c r="I659" s="19">
        <f>SUM(F659:H659)</f>
        <v>6776624.0700000003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26383.272993510462</v>
      </c>
      <c r="G660" s="19">
        <f>(L358/IF(SUM(L357:L359)=0,1,SUM(L357:L359))*(SUM(G96:G109)))</f>
        <v>20041.736783052555</v>
      </c>
      <c r="H660" s="19">
        <f>(L359/IF(SUM(L357:L359)=0,1,SUM(L357:L359))*(SUM(G96:G109)))</f>
        <v>24495.470223436991</v>
      </c>
      <c r="I660" s="19">
        <f>SUM(F660:H660)</f>
        <v>70920.48000000001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81239.520000000004</v>
      </c>
      <c r="G661" s="19">
        <f>(L225+L305)-(J225+J305)</f>
        <v>45745.22</v>
      </c>
      <c r="H661" s="19">
        <f>(L243+L324)-(J243+J324)</f>
        <v>83049.819999999992</v>
      </c>
      <c r="I661" s="19">
        <f>SUM(F661:H661)</f>
        <v>210034.56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248759</v>
      </c>
      <c r="G662" s="200">
        <f>SUM(G574:G586)+SUM(I601:I603)+L611</f>
        <v>53588.670000000006</v>
      </c>
      <c r="H662" s="200">
        <f>SUM(H574:H586)+SUM(J601:J603)+L612</f>
        <v>254374.34000000003</v>
      </c>
      <c r="I662" s="19">
        <f>SUM(F662:H662)</f>
        <v>556722.01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2578717.6370064896</v>
      </c>
      <c r="G663" s="19">
        <f>G659-SUM(G660:G662)</f>
        <v>1407838.4632169474</v>
      </c>
      <c r="H663" s="19">
        <f>H659-SUM(H660:H662)</f>
        <v>1952390.9197765633</v>
      </c>
      <c r="I663" s="19">
        <f>I659-SUM(I660:I662)</f>
        <v>5938947.0200000005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135.9</v>
      </c>
      <c r="G664" s="249">
        <v>91.92</v>
      </c>
      <c r="H664" s="249">
        <v>93.13</v>
      </c>
      <c r="I664" s="19">
        <f>SUM(F664:H664)</f>
        <v>320.95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18975.11</v>
      </c>
      <c r="G666" s="19">
        <f>ROUND(G663/G664,2)</f>
        <v>15315.91</v>
      </c>
      <c r="H666" s="19">
        <f>ROUND(H663/H664,2)</f>
        <v>20964.150000000001</v>
      </c>
      <c r="I666" s="19">
        <f>ROUND(I663/I664,2)</f>
        <v>18504.27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-2.14</v>
      </c>
      <c r="I669" s="19">
        <f>SUM(F669:H669)</f>
        <v>-2.14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18975.11</v>
      </c>
      <c r="G671" s="19">
        <f>ROUND((G663+G668)/(G664+G669),2)</f>
        <v>15315.91</v>
      </c>
      <c r="H671" s="19">
        <f>ROUND((H663+H668)/(H664+H669),2)</f>
        <v>21457.200000000001</v>
      </c>
      <c r="I671" s="19">
        <f>ROUND((I663+I668)/(I664+I669),2)</f>
        <v>18628.48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Lincoln-Woodstock Cooperative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1985491.31</v>
      </c>
      <c r="C9" s="230">
        <f>'DOE25'!G196+'DOE25'!G214+'DOE25'!G232+'DOE25'!G275+'DOE25'!G294+'DOE25'!G313</f>
        <v>808477.76</v>
      </c>
    </row>
    <row r="10" spans="1:3" x14ac:dyDescent="0.2">
      <c r="A10" t="s">
        <v>779</v>
      </c>
      <c r="B10" s="241">
        <f>775781.56+417407.8+636164.75+43508.37+41485.84+13290.06</f>
        <v>1927638.3800000004</v>
      </c>
      <c r="C10" s="241">
        <f>189463.16+5341.58+576+280.8+64827.28+90.2+96448.72+1120.64+4195.68+86111.57+2361.84+262.4+189.54+35386+149.6+53070.19+606.57+2271+96704.67+3058.22+569.6+385.32+54175.81+88+73586.96+931+3485.66+11063.84+233.32+3122.64+4841.82+6272.79+2024.45+3346.13+1215.08+219.88+399.8-4425.75</f>
        <v>804052.00999999978</v>
      </c>
    </row>
    <row r="11" spans="1:3" x14ac:dyDescent="0.2">
      <c r="A11" t="s">
        <v>780</v>
      </c>
      <c r="B11" s="241">
        <v>0</v>
      </c>
      <c r="C11" s="241"/>
    </row>
    <row r="12" spans="1:3" x14ac:dyDescent="0.2">
      <c r="A12" t="s">
        <v>781</v>
      </c>
      <c r="B12" s="241">
        <f>28946.8+10680+18226.13</f>
        <v>57852.930000000008</v>
      </c>
      <c r="C12" s="241">
        <v>4425.75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1985491.3100000003</v>
      </c>
      <c r="C13" s="232">
        <f>SUM(C10:C12)</f>
        <v>808477.75999999978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463147.42</v>
      </c>
      <c r="C18" s="230">
        <f>'DOE25'!G197+'DOE25'!G215+'DOE25'!G233+'DOE25'!G276+'DOE25'!G295+'DOE25'!G314</f>
        <v>192971.23000000004</v>
      </c>
    </row>
    <row r="19" spans="1:3" x14ac:dyDescent="0.2">
      <c r="A19" t="s">
        <v>779</v>
      </c>
      <c r="B19" s="241">
        <f>170945.7+114901.56+101778.17+10158.15+4780+1425-115520</f>
        <v>288468.58</v>
      </c>
      <c r="C19" s="241">
        <f>55702.2+1595.7+76.8+13593.44+14994.42+246.94+924.53+39139.1+957.42+38.4+8619.44+7150.35+165.98+621.43+5000+319.14+76.8+8713.37+10386.11+154.24+577.49+770.19+468.92+14.67+54.94+357.5+321.58+6.9+25.85+109.01+190.83+2.06+7.71-941.72-8837.28-35557</f>
        <v>126047.45999999999</v>
      </c>
    </row>
    <row r="20" spans="1:3" x14ac:dyDescent="0.2">
      <c r="A20" t="s">
        <v>780</v>
      </c>
      <c r="B20" s="241">
        <f>920.14+17509.78+16288.68+12130.24+115520</f>
        <v>162368.84</v>
      </c>
      <c r="C20" s="241">
        <f>1274.73+1086.79+1248.59+1488.05+927.92+6065.84+5630.21+3289.73+345.05+230.86+8837.28+35557</f>
        <v>65982.05</v>
      </c>
    </row>
    <row r="21" spans="1:3" x14ac:dyDescent="0.2">
      <c r="A21" t="s">
        <v>781</v>
      </c>
      <c r="B21" s="241">
        <f>7350+4225+735</f>
        <v>12310</v>
      </c>
      <c r="C21" s="241">
        <v>941.72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463147.42000000004</v>
      </c>
      <c r="C22" s="232">
        <f>SUM(C19:C21)</f>
        <v>192971.23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5000</v>
      </c>
      <c r="C27" s="235">
        <f>'DOE25'!G198+'DOE25'!G216+'DOE25'!G234+'DOE25'!G277+'DOE25'!G296+'DOE25'!G315</f>
        <v>416.75000000000006</v>
      </c>
    </row>
    <row r="28" spans="1:3" x14ac:dyDescent="0.2">
      <c r="A28" t="s">
        <v>779</v>
      </c>
      <c r="B28" s="241">
        <v>5000</v>
      </c>
      <c r="C28" s="241">
        <f>382.49+7.22+27.04</f>
        <v>416.75000000000006</v>
      </c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5000</v>
      </c>
      <c r="C31" s="232">
        <f>SUM(C28:C30)</f>
        <v>416.75000000000006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76945.399999999994</v>
      </c>
      <c r="C36" s="236">
        <f>'DOE25'!G199+'DOE25'!G217+'DOE25'!G235+'DOE25'!G278+'DOE25'!G297+'DOE25'!G316</f>
        <v>12882.05</v>
      </c>
    </row>
    <row r="37" spans="1:3" x14ac:dyDescent="0.2">
      <c r="A37" t="s">
        <v>779</v>
      </c>
      <c r="B37" s="241">
        <f>9187.5+5895.9+4567.5+5065+360+4150</f>
        <v>29225.9</v>
      </c>
      <c r="C37" s="241">
        <f>1129.57+96.4+1400.68+343.42+475.54+379.2+540.56+27.63+40.72</f>
        <v>4433.72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f>789+9914+37016.5</f>
        <v>47719.5</v>
      </c>
      <c r="C39" s="241">
        <f>55.87+89.16+30.33+0.84+778.91+638.26+15.46+57.89+175+1232.12+2790.97+163.55+1616.3+53.47+200.2+550</f>
        <v>8448.33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76945.399999999994</v>
      </c>
      <c r="C40" s="232">
        <f>SUM(C37:C39)</f>
        <v>12882.05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Lincoln-Woodstock Cooperative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4099459.0600000005</v>
      </c>
      <c r="D5" s="20">
        <f>SUM('DOE25'!L196:L199)+SUM('DOE25'!L214:L217)+SUM('DOE25'!L232:L235)-F5-G5</f>
        <v>4031575.4900000007</v>
      </c>
      <c r="E5" s="244"/>
      <c r="F5" s="256">
        <f>SUM('DOE25'!J196:J199)+SUM('DOE25'!J214:J217)+SUM('DOE25'!J232:J235)</f>
        <v>57238.78</v>
      </c>
      <c r="G5" s="53">
        <f>SUM('DOE25'!K196:K199)+SUM('DOE25'!K214:K217)+SUM('DOE25'!K232:K235)</f>
        <v>10644.789999999999</v>
      </c>
      <c r="H5" s="260"/>
    </row>
    <row r="6" spans="1:9" x14ac:dyDescent="0.2">
      <c r="A6" s="32">
        <v>2100</v>
      </c>
      <c r="B6" t="s">
        <v>801</v>
      </c>
      <c r="C6" s="246">
        <f t="shared" si="0"/>
        <v>537934.17999999993</v>
      </c>
      <c r="D6" s="20">
        <f>'DOE25'!L201+'DOE25'!L219+'DOE25'!L237-F6-G6</f>
        <v>536474.17999999993</v>
      </c>
      <c r="E6" s="244"/>
      <c r="F6" s="256">
        <f>'DOE25'!J201+'DOE25'!J219+'DOE25'!J237</f>
        <v>0</v>
      </c>
      <c r="G6" s="53">
        <f>'DOE25'!K201+'DOE25'!K219+'DOE25'!K237</f>
        <v>1460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185843.07</v>
      </c>
      <c r="D7" s="20">
        <f>'DOE25'!L202+'DOE25'!L220+'DOE25'!L238-F7-G7</f>
        <v>183216.45</v>
      </c>
      <c r="E7" s="244"/>
      <c r="F7" s="256">
        <f>'DOE25'!J202+'DOE25'!J220+'DOE25'!J238</f>
        <v>2626.62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297597.81000000006</v>
      </c>
      <c r="D8" s="244"/>
      <c r="E8" s="20">
        <f>'DOE25'!L203+'DOE25'!L221+'DOE25'!L239-F8-G8-D9-D11</f>
        <v>290648.32000000007</v>
      </c>
      <c r="F8" s="256">
        <f>'DOE25'!J203+'DOE25'!J221+'DOE25'!J239</f>
        <v>0</v>
      </c>
      <c r="G8" s="53">
        <f>'DOE25'!K203+'DOE25'!K221+'DOE25'!K239</f>
        <v>6949.4900000000007</v>
      </c>
      <c r="H8" s="260"/>
    </row>
    <row r="9" spans="1:9" x14ac:dyDescent="0.2">
      <c r="A9" s="32">
        <v>2310</v>
      </c>
      <c r="B9" t="s">
        <v>818</v>
      </c>
      <c r="C9" s="246">
        <f t="shared" si="0"/>
        <v>16010.36</v>
      </c>
      <c r="D9" s="245">
        <f>14707.37+1302.99</f>
        <v>16010.36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7963.5</v>
      </c>
      <c r="D10" s="244"/>
      <c r="E10" s="245">
        <v>7963.5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137380.84</v>
      </c>
      <c r="D11" s="245">
        <f>98415.09+38965.75</f>
        <v>137380.84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352365.29</v>
      </c>
      <c r="D12" s="20">
        <f>'DOE25'!L204+'DOE25'!L222+'DOE25'!L240-F12-G12</f>
        <v>346295.3</v>
      </c>
      <c r="E12" s="244"/>
      <c r="F12" s="256">
        <f>'DOE25'!J204+'DOE25'!J222+'DOE25'!J240</f>
        <v>105.99</v>
      </c>
      <c r="G12" s="53">
        <f>'DOE25'!K204+'DOE25'!K222+'DOE25'!K240</f>
        <v>5964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428654.38</v>
      </c>
      <c r="D14" s="20">
        <f>'DOE25'!L206+'DOE25'!L224+'DOE25'!L242-F14-G14</f>
        <v>405740.55</v>
      </c>
      <c r="E14" s="244"/>
      <c r="F14" s="256">
        <f>'DOE25'!J206+'DOE25'!J224+'DOE25'!J242</f>
        <v>0</v>
      </c>
      <c r="G14" s="53">
        <f>'DOE25'!K206+'DOE25'!K224+'DOE25'!K242</f>
        <v>22913.829999999998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228173.2</v>
      </c>
      <c r="D15" s="20">
        <f>'DOE25'!L207+'DOE25'!L225+'DOE25'!L243-F15-G15</f>
        <v>209434.56</v>
      </c>
      <c r="E15" s="244"/>
      <c r="F15" s="256">
        <f>'DOE25'!J207+'DOE25'!J225+'DOE25'!J243</f>
        <v>18738.64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531</v>
      </c>
      <c r="D16" s="244"/>
      <c r="E16" s="20">
        <f>'DOE25'!L208+'DOE25'!L226+'DOE25'!L244-F16-G16</f>
        <v>531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75553.509999999995</v>
      </c>
      <c r="D25" s="244"/>
      <c r="E25" s="244"/>
      <c r="F25" s="259"/>
      <c r="G25" s="257"/>
      <c r="H25" s="258">
        <f>'DOE25'!L259+'DOE25'!L260+'DOE25'!L340+'DOE25'!L341</f>
        <v>75553.509999999995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172573.04</v>
      </c>
      <c r="D29" s="20">
        <f>'DOE25'!L357+'DOE25'!L358+'DOE25'!L359-'DOE25'!I366-F29-G29</f>
        <v>172573.04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320101.83999999997</v>
      </c>
      <c r="D31" s="20">
        <f>'DOE25'!L289+'DOE25'!L308+'DOE25'!L327+'DOE25'!L332+'DOE25'!L333+'DOE25'!L334-F31-G31</f>
        <v>306330.59999999998</v>
      </c>
      <c r="E31" s="244"/>
      <c r="F31" s="256">
        <f>'DOE25'!J289+'DOE25'!J308+'DOE25'!J327+'DOE25'!J332+'DOE25'!J333+'DOE25'!J334</f>
        <v>10277.24</v>
      </c>
      <c r="G31" s="53">
        <f>'DOE25'!K289+'DOE25'!K308+'DOE25'!K327+'DOE25'!K332+'DOE25'!K333+'DOE25'!K334</f>
        <v>3494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6345031.3700000001</v>
      </c>
      <c r="E33" s="247">
        <f>SUM(E5:E31)</f>
        <v>299142.82000000007</v>
      </c>
      <c r="F33" s="247">
        <f>SUM(F5:F31)</f>
        <v>88987.27</v>
      </c>
      <c r="G33" s="247">
        <f>SUM(G5:G31)</f>
        <v>51426.11</v>
      </c>
      <c r="H33" s="247">
        <f>SUM(H5:H31)</f>
        <v>75553.509999999995</v>
      </c>
    </row>
    <row r="35" spans="2:8" ht="12" thickBot="1" x14ac:dyDescent="0.25">
      <c r="B35" s="254" t="s">
        <v>847</v>
      </c>
      <c r="D35" s="255">
        <f>E33</f>
        <v>299142.82000000007</v>
      </c>
      <c r="E35" s="250"/>
    </row>
    <row r="36" spans="2:8" ht="12" thickTop="1" x14ac:dyDescent="0.2">
      <c r="B36" t="s">
        <v>815</v>
      </c>
      <c r="D36" s="20">
        <f>D33</f>
        <v>6345031.3700000001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74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Lincoln-Woodstock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603509.96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112092.19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239857.33000000002</v>
      </c>
      <c r="D11" s="95">
        <f>'DOE25'!G12</f>
        <v>5164.5</v>
      </c>
      <c r="E11" s="95">
        <f>'DOE25'!H12</f>
        <v>72313.210000000006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3993.27</v>
      </c>
      <c r="E12" s="95">
        <f>'DOE25'!H13</f>
        <v>127027.11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10467.719999999999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853835.01</v>
      </c>
      <c r="D18" s="41">
        <f>SUM(D8:D17)</f>
        <v>9157.77</v>
      </c>
      <c r="E18" s="41">
        <f>SUM(E8:E17)</f>
        <v>199340.32</v>
      </c>
      <c r="F18" s="41">
        <f>SUM(F8:F17)</f>
        <v>0</v>
      </c>
      <c r="G18" s="41">
        <f>SUM(G8:G17)</f>
        <v>112092.19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253097.07</v>
      </c>
      <c r="D21" s="95">
        <f>'DOE25'!G22</f>
        <v>0</v>
      </c>
      <c r="E21" s="95">
        <f>'DOE25'!H22</f>
        <v>158770.06</v>
      </c>
      <c r="F21" s="95">
        <f>'DOE25'!I22</f>
        <v>4500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57383.170000000006</v>
      </c>
      <c r="D23" s="95">
        <f>'DOE25'!G24</f>
        <v>114.1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231695.01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542175.25</v>
      </c>
      <c r="D31" s="41">
        <f>SUM(D21:D30)</f>
        <v>114.1</v>
      </c>
      <c r="E31" s="41">
        <f>SUM(E21:E30)</f>
        <v>158770.06</v>
      </c>
      <c r="F31" s="41">
        <f>SUM(F21:F30)</f>
        <v>4500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9043.67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145500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30510.33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112092.19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43149.55</v>
      </c>
      <c r="D47" s="95">
        <f>'DOE25'!G48</f>
        <v>0</v>
      </c>
      <c r="E47" s="95">
        <f>'DOE25'!H48</f>
        <v>10059.93</v>
      </c>
      <c r="F47" s="95">
        <f>'DOE25'!I48</f>
        <v>-4500.0000000000073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23010.210000000021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311659.76</v>
      </c>
      <c r="D49" s="41">
        <f>SUM(D34:D48)</f>
        <v>9043.67</v>
      </c>
      <c r="E49" s="41">
        <f>SUM(E34:E48)</f>
        <v>40570.26</v>
      </c>
      <c r="F49" s="41">
        <f>SUM(F34:F48)</f>
        <v>-4500.0000000000073</v>
      </c>
      <c r="G49" s="41">
        <f>SUM(G34:G48)</f>
        <v>112092.19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853835.01</v>
      </c>
      <c r="D50" s="41">
        <f>D49+D31</f>
        <v>9157.77</v>
      </c>
      <c r="E50" s="41">
        <f>E49+E31</f>
        <v>199340.32</v>
      </c>
      <c r="F50" s="41">
        <f>F49+F31</f>
        <v>-7.2759576141834259E-12</v>
      </c>
      <c r="G50" s="41">
        <f>G49+G31</f>
        <v>112092.19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3354888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15820.49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239.85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157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70920.48000000001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29268.09</v>
      </c>
      <c r="D60" s="95">
        <f>SUM('DOE25'!G97:G109)</f>
        <v>0</v>
      </c>
      <c r="E60" s="95">
        <f>SUM('DOE25'!H97:H109)</f>
        <v>26722.78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45328.43</v>
      </c>
      <c r="D61" s="130">
        <f>SUM(D56:D60)</f>
        <v>70920.48000000001</v>
      </c>
      <c r="E61" s="130">
        <f>SUM(E56:E60)</f>
        <v>26722.78</v>
      </c>
      <c r="F61" s="130">
        <f>SUM(F56:F60)</f>
        <v>0</v>
      </c>
      <c r="G61" s="130">
        <f>SUM(G56:G60)</f>
        <v>157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3400216.43</v>
      </c>
      <c r="D62" s="22">
        <f>D55+D61</f>
        <v>70920.48000000001</v>
      </c>
      <c r="E62" s="22">
        <f>E55+E61</f>
        <v>26722.78</v>
      </c>
      <c r="F62" s="22">
        <f>F55+F61</f>
        <v>0</v>
      </c>
      <c r="G62" s="22">
        <f>G55+G61</f>
        <v>157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354575.78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2566602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307.22000000000003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5424.27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2926909.2700000005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10136.48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1685.55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1837.44</v>
      </c>
      <c r="D76" s="95">
        <f>SUM('DOE25'!G130:G134)</f>
        <v>1525.94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13659.47</v>
      </c>
      <c r="D77" s="130">
        <f>SUM(D71:D76)</f>
        <v>1525.94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2940568.7400000007</v>
      </c>
      <c r="D80" s="130">
        <f>SUM(D78:D79)+D77+D69</f>
        <v>1525.94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8849.9399999999987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52749.03</v>
      </c>
      <c r="D87" s="95">
        <f>SUM('DOE25'!G152:G160)</f>
        <v>83414.010000000009</v>
      </c>
      <c r="E87" s="95">
        <f>SUM('DOE25'!H152:H160)</f>
        <v>314561.94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71743.39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124492.42</v>
      </c>
      <c r="D90" s="131">
        <f>SUM(D84:D89)</f>
        <v>83414.010000000009</v>
      </c>
      <c r="E90" s="131">
        <f>SUM(E84:E89)</f>
        <v>323411.88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16712.61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150000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150000</v>
      </c>
      <c r="D102" s="86">
        <f>SUM(D92:D101)</f>
        <v>16712.61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6615277.5900000008</v>
      </c>
      <c r="D103" s="86">
        <f>D62+D80+D90+D102</f>
        <v>172573.04000000004</v>
      </c>
      <c r="E103" s="86">
        <f>E62+E80+E90+E102</f>
        <v>350134.66000000003</v>
      </c>
      <c r="F103" s="86">
        <f>F62+F80+F90+F102</f>
        <v>0</v>
      </c>
      <c r="G103" s="86">
        <f>G62+G80+G102</f>
        <v>100157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2917727.5800000005</v>
      </c>
      <c r="D108" s="24" t="s">
        <v>289</v>
      </c>
      <c r="E108" s="95">
        <f>('DOE25'!L275)+('DOE25'!L294)+('DOE25'!L313)</f>
        <v>153978.69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1034579.2600000001</v>
      </c>
      <c r="D109" s="24" t="s">
        <v>289</v>
      </c>
      <c r="E109" s="95">
        <f>('DOE25'!L276)+('DOE25'!L295)+('DOE25'!L314)</f>
        <v>81476.959999999992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36228.25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110923.97</v>
      </c>
      <c r="D111" s="24" t="s">
        <v>289</v>
      </c>
      <c r="E111" s="95">
        <f>+('DOE25'!L278)+('DOE25'!L297)+('DOE25'!L316)</f>
        <v>15472.1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4099459.060000001</v>
      </c>
      <c r="D114" s="86">
        <f>SUM(D108:D113)</f>
        <v>0</v>
      </c>
      <c r="E114" s="86">
        <f>SUM(E108:E113)</f>
        <v>250927.75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537934.17999999993</v>
      </c>
      <c r="D117" s="24" t="s">
        <v>289</v>
      </c>
      <c r="E117" s="95">
        <f>+('DOE25'!L280)+('DOE25'!L299)+('DOE25'!L318)</f>
        <v>50449.490000000005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185843.07</v>
      </c>
      <c r="D118" s="24" t="s">
        <v>289</v>
      </c>
      <c r="E118" s="95">
        <f>+('DOE25'!L281)+('DOE25'!L300)+('DOE25'!L319)</f>
        <v>17374.599999999999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450989.01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352365.29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428654.38</v>
      </c>
      <c r="D122" s="24" t="s">
        <v>289</v>
      </c>
      <c r="E122" s="95">
        <f>+('DOE25'!L285)+('DOE25'!L304)+('DOE25'!L323)</f>
        <v>750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228173.2</v>
      </c>
      <c r="D123" s="24" t="s">
        <v>289</v>
      </c>
      <c r="E123" s="95">
        <f>+('DOE25'!L286)+('DOE25'!L305)+('DOE25'!L324)</f>
        <v>600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531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172573.04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2184490.1300000004</v>
      </c>
      <c r="D127" s="86">
        <f>SUM(D117:D126)</f>
        <v>172573.04</v>
      </c>
      <c r="E127" s="86">
        <f>SUM(E117:E126)</f>
        <v>69174.09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4500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70365.97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5187.54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118836.59</v>
      </c>
      <c r="G133" s="95">
        <f>'DOE25'!K433</f>
        <v>150000</v>
      </c>
    </row>
    <row r="134" spans="1:7" x14ac:dyDescent="0.2">
      <c r="A134" t="s">
        <v>233</v>
      </c>
      <c r="B134" s="32" t="s">
        <v>234</v>
      </c>
      <c r="C134" s="95">
        <f>'DOE25'!L262</f>
        <v>16712.61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100157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-157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54500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246766.12</v>
      </c>
      <c r="D143" s="141">
        <f>SUM(D129:D142)</f>
        <v>0</v>
      </c>
      <c r="E143" s="141">
        <f>SUM(E129:E142)</f>
        <v>0</v>
      </c>
      <c r="F143" s="141">
        <f>SUM(F129:F142)</f>
        <v>123336.59</v>
      </c>
      <c r="G143" s="141">
        <f>SUM(G129:G142)</f>
        <v>150000</v>
      </c>
    </row>
    <row r="144" spans="1:7" ht="12.75" thickTop="1" thickBot="1" x14ac:dyDescent="0.25">
      <c r="A144" s="33" t="s">
        <v>244</v>
      </c>
      <c r="C144" s="86">
        <f>(C114+C127+C143)</f>
        <v>6530715.3100000015</v>
      </c>
      <c r="D144" s="86">
        <f>(D114+D127+D143)</f>
        <v>172573.04</v>
      </c>
      <c r="E144" s="86">
        <f>(E114+E127+E143)</f>
        <v>320101.83999999997</v>
      </c>
      <c r="F144" s="86">
        <f>(F114+F127+F143)</f>
        <v>123336.59</v>
      </c>
      <c r="G144" s="86">
        <f>(G114+G127+G143)</f>
        <v>150000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06/15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1.78E-2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403299.75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403299.75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115865.1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115865.1</v>
      </c>
    </row>
    <row r="158" spans="1:9" x14ac:dyDescent="0.2">
      <c r="A158" s="22" t="s">
        <v>35</v>
      </c>
      <c r="B158" s="137">
        <f>'DOE25'!F497</f>
        <v>287434.65000000002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287434.65000000002</v>
      </c>
    </row>
    <row r="159" spans="1:9" x14ac:dyDescent="0.2">
      <c r="A159" s="22" t="s">
        <v>36</v>
      </c>
      <c r="B159" s="137">
        <f>'DOE25'!F498</f>
        <v>9478.89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9478.89</v>
      </c>
    </row>
    <row r="160" spans="1:9" x14ac:dyDescent="0.2">
      <c r="A160" s="22" t="s">
        <v>37</v>
      </c>
      <c r="B160" s="137">
        <f>'DOE25'!F499</f>
        <v>296913.54000000004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296913.54000000004</v>
      </c>
    </row>
    <row r="161" spans="1:7" x14ac:dyDescent="0.2">
      <c r="A161" s="22" t="s">
        <v>38</v>
      </c>
      <c r="B161" s="137">
        <f>'DOE25'!F500</f>
        <v>70649.959999999992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70649.959999999992</v>
      </c>
    </row>
    <row r="162" spans="1:7" x14ac:dyDescent="0.2">
      <c r="A162" s="22" t="s">
        <v>39</v>
      </c>
      <c r="B162" s="137">
        <f>'DOE25'!F501</f>
        <v>3578.44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3578.44</v>
      </c>
    </row>
    <row r="163" spans="1:7" x14ac:dyDescent="0.2">
      <c r="A163" s="22" t="s">
        <v>246</v>
      </c>
      <c r="B163" s="137">
        <f>'DOE25'!F502</f>
        <v>74228.399999999994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74228.399999999994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Lincoln-Woodstock Cooperative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18975</v>
      </c>
    </row>
    <row r="5" spans="1:4" x14ac:dyDescent="0.2">
      <c r="B5" t="s">
        <v>704</v>
      </c>
      <c r="C5" s="179">
        <f>IF('DOE25'!G664+'DOE25'!G669=0,0,ROUND('DOE25'!G671,0))</f>
        <v>15316</v>
      </c>
    </row>
    <row r="6" spans="1:4" x14ac:dyDescent="0.2">
      <c r="B6" t="s">
        <v>62</v>
      </c>
      <c r="C6" s="179">
        <f>IF('DOE25'!H664+'DOE25'!H669=0,0,ROUND('DOE25'!H671,0))</f>
        <v>21457</v>
      </c>
    </row>
    <row r="7" spans="1:4" x14ac:dyDescent="0.2">
      <c r="B7" t="s">
        <v>705</v>
      </c>
      <c r="C7" s="179">
        <f>IF('DOE25'!I664+'DOE25'!I669=0,0,ROUND('DOE25'!I671,0))</f>
        <v>18628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3071706</v>
      </c>
      <c r="D10" s="182">
        <f>ROUND((C10/$C$28)*100,1)</f>
        <v>45.4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1116056</v>
      </c>
      <c r="D11" s="182">
        <f>ROUND((C11/$C$28)*100,1)</f>
        <v>16.5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36228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126396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588384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203218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451520</v>
      </c>
      <c r="D17" s="182">
        <f t="shared" si="0"/>
        <v>6.7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352365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429404</v>
      </c>
      <c r="D20" s="182">
        <f t="shared" si="0"/>
        <v>6.3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228773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5188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54500</v>
      </c>
      <c r="D26" s="182">
        <f t="shared" si="0"/>
        <v>0.8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101652.51999999999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6765390.5199999996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4500</v>
      </c>
    </row>
    <row r="30" spans="1:4" x14ac:dyDescent="0.2">
      <c r="B30" s="187" t="s">
        <v>729</v>
      </c>
      <c r="C30" s="180">
        <f>SUM(C28:C29)</f>
        <v>6769890.5199999996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70366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3354888</v>
      </c>
      <c r="D35" s="182">
        <f t="shared" ref="D35:D40" si="1">ROUND((C35/$C$41)*100,1)</f>
        <v>48.6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72208.209999999963</v>
      </c>
      <c r="D36" s="182">
        <f t="shared" si="1"/>
        <v>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2921485</v>
      </c>
      <c r="D37" s="182">
        <f t="shared" si="1"/>
        <v>42.3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20610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531318</v>
      </c>
      <c r="D39" s="182">
        <f t="shared" si="1"/>
        <v>7.7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6900509.21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Lincoln-Woodstock Cooperative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>
        <v>5</v>
      </c>
      <c r="B4" s="220">
        <v>2</v>
      </c>
      <c r="C4" s="280" t="s">
        <v>909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2</v>
      </c>
      <c r="C5" s="280" t="s">
        <v>910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2012-09-19T12:57:57Z</cp:lastPrinted>
  <dcterms:created xsi:type="dcterms:W3CDTF">1997-12-04T19:04:30Z</dcterms:created>
  <dcterms:modified xsi:type="dcterms:W3CDTF">2012-11-21T14:57:16Z</dcterms:modified>
</cp:coreProperties>
</file>