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I368" i="1" s="1"/>
  <c r="H633" i="1" s="1"/>
  <c r="J289" i="1"/>
  <c r="J308" i="1"/>
  <c r="J327" i="1"/>
  <c r="F31" i="13" s="1"/>
  <c r="K289" i="1"/>
  <c r="K308" i="1"/>
  <c r="K327" i="1"/>
  <c r="L275" i="1"/>
  <c r="E108" i="2" s="1"/>
  <c r="L276" i="1"/>
  <c r="E109" i="2" s="1"/>
  <c r="L277" i="1"/>
  <c r="L278" i="1"/>
  <c r="L280" i="1"/>
  <c r="L281" i="1"/>
  <c r="L282" i="1"/>
  <c r="L283" i="1"/>
  <c r="L284" i="1"/>
  <c r="C19" i="10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131" i="2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E55" i="2" s="1"/>
  <c r="I59" i="1"/>
  <c r="F55" i="2" s="1"/>
  <c r="F78" i="1"/>
  <c r="F93" i="1"/>
  <c r="C57" i="2" s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G161" i="1"/>
  <c r="G168" i="1" s="1"/>
  <c r="H146" i="1"/>
  <c r="H161" i="1"/>
  <c r="I146" i="1"/>
  <c r="I161" i="1"/>
  <c r="C12" i="10"/>
  <c r="L249" i="1"/>
  <c r="L331" i="1"/>
  <c r="L253" i="1"/>
  <c r="C25" i="10"/>
  <c r="L267" i="1"/>
  <c r="L268" i="1"/>
  <c r="L348" i="1"/>
  <c r="L349" i="1"/>
  <c r="I664" i="1"/>
  <c r="I669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C18" i="2" s="1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C56" i="2"/>
  <c r="E56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E102" i="2" s="1"/>
  <c r="F101" i="2"/>
  <c r="C110" i="2"/>
  <c r="E110" i="2"/>
  <c r="E111" i="2"/>
  <c r="C112" i="2"/>
  <c r="E112" i="2"/>
  <c r="C113" i="2"/>
  <c r="E113" i="2"/>
  <c r="D114" i="2"/>
  <c r="F114" i="2"/>
  <c r="G114" i="2"/>
  <c r="E117" i="2"/>
  <c r="E118" i="2"/>
  <c r="C119" i="2"/>
  <c r="E119" i="2"/>
  <c r="C120" i="2"/>
  <c r="E120" i="2"/>
  <c r="C121" i="2"/>
  <c r="E121" i="2"/>
  <c r="E122" i="2"/>
  <c r="E123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G160" i="2" s="1"/>
  <c r="I499" i="1"/>
  <c r="E160" i="2" s="1"/>
  <c r="J499" i="1"/>
  <c r="F160" i="2" s="1"/>
  <c r="B161" i="2"/>
  <c r="C161" i="2"/>
  <c r="D161" i="2"/>
  <c r="G161" i="2" s="1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I433" i="1" s="1"/>
  <c r="J418" i="1"/>
  <c r="L420" i="1"/>
  <c r="L421" i="1"/>
  <c r="L422" i="1"/>
  <c r="L423" i="1"/>
  <c r="L424" i="1"/>
  <c r="L425" i="1"/>
  <c r="F426" i="1"/>
  <c r="F433" i="1" s="1"/>
  <c r="G426" i="1"/>
  <c r="H426" i="1"/>
  <c r="I426" i="1"/>
  <c r="J426" i="1"/>
  <c r="L428" i="1"/>
  <c r="L429" i="1"/>
  <c r="L430" i="1"/>
  <c r="L431" i="1"/>
  <c r="F432" i="1"/>
  <c r="G432" i="1"/>
  <c r="H432" i="1"/>
  <c r="H433" i="1" s="1"/>
  <c r="I432" i="1"/>
  <c r="J432" i="1"/>
  <c r="J433" i="1"/>
  <c r="F445" i="1"/>
  <c r="G638" i="1" s="1"/>
  <c r="G445" i="1"/>
  <c r="H445" i="1"/>
  <c r="G640" i="1" s="1"/>
  <c r="I445" i="1"/>
  <c r="G641" i="1" s="1"/>
  <c r="F451" i="1"/>
  <c r="G451" i="1"/>
  <c r="H451" i="1"/>
  <c r="I451" i="1"/>
  <c r="F459" i="1"/>
  <c r="F460" i="1" s="1"/>
  <c r="H638" i="1" s="1"/>
  <c r="G459" i="1"/>
  <c r="H459" i="1"/>
  <c r="I459" i="1"/>
  <c r="I460" i="1" s="1"/>
  <c r="H641" i="1" s="1"/>
  <c r="G460" i="1"/>
  <c r="H639" i="1" s="1"/>
  <c r="H460" i="1"/>
  <c r="H640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G642" i="1"/>
  <c r="G643" i="1"/>
  <c r="H643" i="1"/>
  <c r="G650" i="1"/>
  <c r="G651" i="1"/>
  <c r="H651" i="1"/>
  <c r="J651" i="1"/>
  <c r="G652" i="1"/>
  <c r="H652" i="1"/>
  <c r="G653" i="1"/>
  <c r="H653" i="1"/>
  <c r="J653" i="1" s="1"/>
  <c r="H654" i="1"/>
  <c r="L255" i="1"/>
  <c r="G163" i="2"/>
  <c r="G159" i="2"/>
  <c r="F31" i="2"/>
  <c r="C26" i="10"/>
  <c r="L327" i="1"/>
  <c r="L350" i="1"/>
  <c r="A40" i="12"/>
  <c r="G8" i="2"/>
  <c r="D61" i="2"/>
  <c r="D62" i="2" s="1"/>
  <c r="D18" i="13"/>
  <c r="C18" i="13" s="1"/>
  <c r="F102" i="2"/>
  <c r="D18" i="2"/>
  <c r="E18" i="2"/>
  <c r="D17" i="13"/>
  <c r="C17" i="13" s="1"/>
  <c r="G80" i="2"/>
  <c r="F77" i="2"/>
  <c r="F80" i="2" s="1"/>
  <c r="F61" i="2"/>
  <c r="D31" i="2"/>
  <c r="C77" i="2"/>
  <c r="D49" i="2"/>
  <c r="D50" i="2" s="1"/>
  <c r="F49" i="2"/>
  <c r="F50" i="2" s="1"/>
  <c r="F18" i="2"/>
  <c r="G162" i="2"/>
  <c r="G157" i="2"/>
  <c r="E143" i="2"/>
  <c r="G102" i="2"/>
  <c r="C102" i="2"/>
  <c r="F90" i="2"/>
  <c r="E61" i="2"/>
  <c r="E31" i="2"/>
  <c r="C31" i="2"/>
  <c r="D19" i="13"/>
  <c r="C19" i="13" s="1"/>
  <c r="E13" i="13"/>
  <c r="C13" i="13" s="1"/>
  <c r="A31" i="12" l="1"/>
  <c r="H51" i="1"/>
  <c r="H618" i="1" s="1"/>
  <c r="J618" i="1" s="1"/>
  <c r="L523" i="1"/>
  <c r="G158" i="2"/>
  <c r="K499" i="1"/>
  <c r="G155" i="2"/>
  <c r="E49" i="2"/>
  <c r="E50" i="2" s="1"/>
  <c r="J616" i="1"/>
  <c r="J641" i="1"/>
  <c r="D29" i="13"/>
  <c r="C29" i="13" s="1"/>
  <c r="L361" i="1"/>
  <c r="G660" i="1"/>
  <c r="D126" i="2"/>
  <c r="D127" i="2" s="1"/>
  <c r="D144" i="2" s="1"/>
  <c r="F660" i="1"/>
  <c r="H660" i="1"/>
  <c r="G31" i="13"/>
  <c r="G33" i="13" s="1"/>
  <c r="K337" i="1"/>
  <c r="K351" i="1" s="1"/>
  <c r="I337" i="1"/>
  <c r="I351" i="1" s="1"/>
  <c r="E114" i="2"/>
  <c r="C18" i="10"/>
  <c r="C130" i="2"/>
  <c r="C124" i="2"/>
  <c r="D14" i="13"/>
  <c r="C14" i="13" s="1"/>
  <c r="C20" i="10"/>
  <c r="C122" i="2"/>
  <c r="D12" i="13"/>
  <c r="C12" i="13" s="1"/>
  <c r="E8" i="13"/>
  <c r="C8" i="13" s="1"/>
  <c r="C16" i="10"/>
  <c r="D7" i="13"/>
  <c r="C7" i="13" s="1"/>
  <c r="C118" i="2"/>
  <c r="K256" i="1"/>
  <c r="K270" i="1" s="1"/>
  <c r="I662" i="1"/>
  <c r="G256" i="1"/>
  <c r="G270" i="1" s="1"/>
  <c r="I256" i="1"/>
  <c r="I270" i="1" s="1"/>
  <c r="F661" i="1"/>
  <c r="D15" i="13"/>
  <c r="C15" i="13" s="1"/>
  <c r="F256" i="1"/>
  <c r="F270" i="1" s="1"/>
  <c r="F191" i="1"/>
  <c r="C90" i="2"/>
  <c r="C61" i="2"/>
  <c r="C62" i="2" s="1"/>
  <c r="F139" i="1"/>
  <c r="F544" i="1"/>
  <c r="G570" i="1"/>
  <c r="F62" i="2"/>
  <c r="J652" i="1"/>
  <c r="G644" i="1"/>
  <c r="L528" i="1"/>
  <c r="K433" i="1"/>
  <c r="G133" i="2" s="1"/>
  <c r="G143" i="2" s="1"/>
  <c r="G144" i="2" s="1"/>
  <c r="I139" i="1"/>
  <c r="G139" i="1"/>
  <c r="L246" i="1"/>
  <c r="H659" i="1" s="1"/>
  <c r="H663" i="1" s="1"/>
  <c r="H671" i="1" s="1"/>
  <c r="C6" i="10" s="1"/>
  <c r="C108" i="2"/>
  <c r="C17" i="10"/>
  <c r="L269" i="1"/>
  <c r="I191" i="1"/>
  <c r="E90" i="2"/>
  <c r="C24" i="10"/>
  <c r="A22" i="12"/>
  <c r="L289" i="1"/>
  <c r="C117" i="2"/>
  <c r="E62" i="2"/>
  <c r="G433" i="1"/>
  <c r="C109" i="2"/>
  <c r="C111" i="2"/>
  <c r="G661" i="1"/>
  <c r="C21" i="10"/>
  <c r="G649" i="1"/>
  <c r="J649" i="1" s="1"/>
  <c r="C13" i="10"/>
  <c r="C11" i="10"/>
  <c r="L228" i="1"/>
  <c r="H646" i="1"/>
  <c r="C123" i="2"/>
  <c r="J648" i="1"/>
  <c r="L210" i="1"/>
  <c r="D6" i="13"/>
  <c r="C6" i="13" s="1"/>
  <c r="C15" i="10"/>
  <c r="C10" i="10"/>
  <c r="C80" i="2"/>
  <c r="E77" i="2"/>
  <c r="E80" i="2" s="1"/>
  <c r="E103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I192" i="1" s="1"/>
  <c r="G629" i="1" s="1"/>
  <c r="J629" i="1" s="1"/>
  <c r="H168" i="1"/>
  <c r="G551" i="1"/>
  <c r="L433" i="1"/>
  <c r="G637" i="1" s="1"/>
  <c r="J637" i="1" s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617" i="1"/>
  <c r="J551" i="1"/>
  <c r="H551" i="1"/>
  <c r="C29" i="10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J50" i="1"/>
  <c r="L564" i="1"/>
  <c r="G544" i="1"/>
  <c r="L544" i="1"/>
  <c r="H544" i="1"/>
  <c r="K550" i="1"/>
  <c r="F143" i="2"/>
  <c r="F144" i="2" s="1"/>
  <c r="C27" i="10" l="1"/>
  <c r="C28" i="10" s="1"/>
  <c r="D22" i="10" s="1"/>
  <c r="G634" i="1"/>
  <c r="J634" i="1" s="1"/>
  <c r="I660" i="1"/>
  <c r="E144" i="2"/>
  <c r="J647" i="1"/>
  <c r="J270" i="1"/>
  <c r="C127" i="2"/>
  <c r="I661" i="1"/>
  <c r="H192" i="1"/>
  <c r="G628" i="1" s="1"/>
  <c r="J628" i="1" s="1"/>
  <c r="C39" i="10"/>
  <c r="C103" i="2"/>
  <c r="K551" i="1"/>
  <c r="L570" i="1"/>
  <c r="G50" i="2"/>
  <c r="F192" i="1"/>
  <c r="G626" i="1" s="1"/>
  <c r="J626" i="1" s="1"/>
  <c r="C38" i="10"/>
  <c r="F659" i="1"/>
  <c r="F663" i="1" s="1"/>
  <c r="F666" i="1" s="1"/>
  <c r="C114" i="2"/>
  <c r="H666" i="1"/>
  <c r="J646" i="1"/>
  <c r="L256" i="1"/>
  <c r="L270" i="1" s="1"/>
  <c r="G631" i="1" s="1"/>
  <c r="J631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144" i="2" l="1"/>
  <c r="C41" i="10"/>
  <c r="D39" i="10" s="1"/>
  <c r="F671" i="1"/>
  <c r="C4" i="10" s="1"/>
  <c r="D21" i="10"/>
  <c r="D24" i="10"/>
  <c r="D15" i="10"/>
  <c r="D10" i="10"/>
  <c r="D25" i="10"/>
  <c r="D27" i="10"/>
  <c r="D23" i="10"/>
  <c r="C30" i="10"/>
  <c r="D17" i="10"/>
  <c r="D11" i="10"/>
  <c r="D26" i="10"/>
  <c r="D19" i="10"/>
  <c r="D18" i="10"/>
  <c r="D16" i="10"/>
  <c r="D13" i="10"/>
  <c r="D12" i="10"/>
  <c r="D20" i="10"/>
  <c r="G636" i="1"/>
  <c r="J636" i="1" s="1"/>
  <c r="H645" i="1"/>
  <c r="J645" i="1" s="1"/>
  <c r="D33" i="13"/>
  <c r="D36" i="13" s="1"/>
  <c r="G663" i="1"/>
  <c r="I659" i="1"/>
  <c r="I663" i="1" s="1"/>
  <c r="J625" i="1"/>
  <c r="D38" i="10" l="1"/>
  <c r="D36" i="10"/>
  <c r="D37" i="10"/>
  <c r="D40" i="10"/>
  <c r="D35" i="10"/>
  <c r="H655" i="1"/>
  <c r="D28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<sst xmlns="http://schemas.openxmlformats.org/spreadsheetml/2006/main" count="3949" uniqueCount="916">
  <si>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</si>
  <si>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</si>
  <si>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</si>
  <si>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</si>
  <si>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</si>
  <si>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</si>
  <si>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</si>
  <si>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</si>
  <si>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</si>
  <si>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</si>
  <si>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</si>
  <si>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</si>
  <si>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</si>
  <si>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</si>
  <si>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</si>
  <si>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</si>
  <si>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</si>
  <si>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</si>
  <si>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</si>
  <si>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</si>
  <si>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</si>
  <si>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</si>
  <si>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</si>
  <si>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</si>
  <si>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</si>
  <si>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</si>
  <si>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</si>
  <si>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</si>
  <si>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</si>
  <si>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</si>
  <si>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</si>
  <si>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</si>
  <si>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</si>
  <si>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</si>
  <si>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</si>
  <si>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</si>
  <si>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</si>
  <si>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</si>
  <si>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</si>
  <si>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</si>
  <si>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</si>
  <si>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</si>
  <si>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</si>
  <si>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</si>
  <si>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</si>
  <si>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</si>
  <si>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</si>
  <si>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</si>
  <si>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</si>
  <si>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</si>
  <si>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</si>
  <si>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</si>
  <si>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</si>
  <si>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</si>
  <si>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</si>
  <si>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</si>
  <si>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</si>
  <si>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</si>
  <si>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</si>
  <si>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</si>
  <si>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</si>
  <si>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</si>
  <si>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</si>
  <si>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</si>
  <si>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</si>
  <si>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</si>
  <si>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</si>
  <si>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</si>
  <si>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</si>
  <si>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</si>
  <si>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</si>
  <si>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</si>
  <si>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</si>
  <si>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</si>
  <si>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</si>
  <si>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</si>
  <si>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</si>
  <si>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</si>
  <si>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</si>
  <si>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</si>
  <si>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</si>
  <si>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</si>
  <si>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</si>
  <si>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</si>
  <si>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</si>
  <si>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</si>
  <si>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</si>
  <si>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</si>
  <si>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</si>
  <si>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</si>
  <si>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</si>
  <si>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</si>
  <si>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</si>
  <si>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</si>
  <si>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</si>
  <si>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</si>
  <si>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</si>
  <si>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</si>
  <si>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</si>
  <si>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</si>
  <si>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</si>
  <si>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</si>
  <si>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</si>
  <si>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</si>
  <si>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</si>
  <si>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</si>
  <si>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</si>
  <si>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</si>
  <si>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</si>
  <si>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</si>
  <si>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</si>
  <si>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</si>
  <si>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</si>
  <si>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</si>
  <si>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</si>
  <si>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</si>
  <si>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</si>
  <si>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</si>
  <si>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</si>
  <si>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</si>
  <si>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</si>
  <si>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</si>
  <si>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</si>
  <si>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</si>
  <si>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</si>
  <si>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</si>
  <si>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</si>
  <si>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</si>
  <si>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</si>
  <si>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</si>
  <si>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</si>
  <si>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</si>
  <si>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</si>
  <si>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</si>
  <si>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</si>
  <si>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</si>
  <si>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</si>
  <si>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</si>
  <si>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</si>
  <si>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</si>
  <si>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</si>
  <si>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</si>
  <si>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</si>
  <si>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</si>
  <si>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</si>
  <si>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</si>
  <si>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</si>
  <si>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</si>
  <si>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</si>
  <si>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</si>
  <si>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</si>
  <si>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</si>
  <si>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</si>
  <si>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</si>
  <si>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</si>
  <si>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</si>
  <si>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</si>
  <si>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</si>
  <si>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</si>
  <si>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</si>
  <si>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</si>
  <si>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</si>
  <si>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</si>
  <si>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</si>
  <si>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</si>
  <si>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</si>
  <si>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</si>
  <si>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</si>
  <si>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</si>
  <si>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</si>
  <si>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</si>
  <si>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</si>
  <si>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</si>
  <si>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</si>
  <si>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</si>
  <si>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</si>
  <si>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</si>
  <si>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</si>
  <si>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</si>
  <si>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</si>
  <si>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</si>
  <si>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</si>
  <si>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</si>
  <si>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</si>
  <si>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</si>
  <si>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</si>
  <si>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</si>
  <si>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</si>
  <si>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</si>
  <si>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</si>
  <si>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</si>
  <si>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</si>
  <si>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</si>
  <si>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</si>
  <si>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</si>
  <si>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</si>
  <si>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</si>
  <si>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</si>
  <si>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</si>
  <si>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</si>
  <si>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</si>
  <si>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</si>
  <si>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</si>
  <si>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</si>
  <si>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</si>
  <si>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</si>
  <si>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</si>
  <si>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</si>
  <si>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</si>
  <si>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</si>
  <si>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</si>
  <si>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</si>
  <si>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</si>
  <si>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</si>
  <si>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</si>
  <si>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</si>
  <si>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</si>
  <si>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</si>
  <si>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</si>
  <si>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</si>
  <si>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</si>
  <si>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</si>
  <si>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</si>
  <si>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</si>
  <si>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</si>
  <si>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</si>
  <si>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</si>
  <si>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</si>
  <si>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</si>
  <si>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</si>
  <si>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</si>
  <si>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</si>
  <si>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</si>
  <si>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</si>
  <si>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</si>
  <si>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</si>
  <si>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</si>
  <si>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</si>
  <si>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</si>
  <si>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</si>
  <si>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</si>
  <si>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</si>
  <si>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</si>
  <si>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</si>
  <si>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</si>
  <si>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</si>
  <si>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</si>
  <si>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</si>
  <si>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</si>
  <si>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</si>
  <si>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</si>
  <si>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</si>
  <si>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</si>
  <si>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</si>
  <si>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</si>
  <si>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</si>
  <si>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</si>
  <si>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</si>
  <si>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</si>
  <si>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</si>
  <si>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</si>
  <si>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</si>
  <si>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</si>
  <si>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</si>
  <si>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</si>
  <si>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</si>
  <si>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</si>
  <si>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</si>
  <si>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</si>
  <si>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</si>
  <si>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</si>
  <si>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</si>
  <si>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</si>
  <si>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</si>
  <si>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</si>
  <si>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</si>
  <si>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</si>
  <si>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</si>
  <si>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</si>
  <si>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</si>
  <si>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</si>
  <si>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</si>
  <si>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</si>
  <si>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</si>
  <si>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</si>
  <si>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</si>
  <si>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</si>
  <si>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</si>
  <si>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</si>
  <si>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</si>
  <si>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</si>
  <si>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</si>
  <si>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</si>
  <si>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</si>
  <si>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</si>
  <si>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</si>
  <si>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</si>
  <si>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</si>
  <si>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</si>
  <si>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</si>
  <si>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</si>
  <si>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</si>
  <si>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</si>
  <si>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</si>
  <si>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</si>
  <si>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</si>
  <si>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</si>
  <si>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</si>
  <si>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</si>
  <si>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</si>
  <si>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</si>
  <si>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</si>
  <si>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</si>
  <si>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</si>
  <si>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</si>
  <si>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</si>
  <si>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</si>
  <si>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</si>
  <si>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</si>
  <si>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</si>
  <si>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</si>
  <si>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</si>
  <si>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</si>
  <si>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</si>
  <si>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</si>
  <si>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</si>
  <si>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</si>
  <si>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</si>
  <si>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</si>
  <si>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</si>
  <si>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</si>
  <si>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</si>
  <si>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</si>
  <si>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</si>
  <si>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</si>
  <si>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</si>
  <si>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</si>
  <si>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</si>
  <si>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</si>
  <si>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</si>
  <si>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</si>
  <si>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</si>
  <si>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</si>
  <si>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</si>
  <si>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</si>
  <si>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</si>
  <si>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</si>
  <si>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</si>
  <si>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</si>
  <si>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</si>
  <si>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</si>
  <si>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</si>
  <si>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</si>
  <si>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</si>
  <si>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</si>
  <si>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</si>
  <si>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</si>
  <si>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</si>
  <si>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</si>
  <si>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</si>
  <si>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</si>
  <si>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</si>
  <si>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</si>
  <si>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</si>
  <si>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</si>
  <si>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</si>
  <si>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</si>
  <si>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</si>
  <si>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</si>
  <si>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</si>
  <si>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</si>
  <si>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</si>
  <si>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</si>
  <si>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</si>
  <si>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</si>
  <si>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</si>
  <si>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</si>
  <si>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</si>
  <si>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</si>
  <si>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</si>
  <si>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</si>
  <si>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</si>
  <si>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</si>
  <si>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</si>
  <si>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</si>
  <si>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</si>
  <si>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</si>
  <si>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</si>
  <si>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</si>
  <si>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</si>
  <si>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</si>
  <si>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</si>
  <si>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</si>
  <si>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</si>
  <si>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</si>
  <si>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</si>
  <si>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</si>
  <si>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</si>
  <si>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</si>
  <si>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</si>
  <si>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</si>
  <si>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</si>
  <si>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</si>
  <si>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</si>
  <si>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</si>
  <si>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</si>
  <si>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</si>
  <si>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</si>
  <si>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</si>
  <si>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</si>
  <si>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</si>
  <si>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</si>
  <si>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</si>
  <si>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</si>
  <si>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</si>
  <si>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</si>
  <si>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</si>
  <si>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</si>
  <si>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</si>
  <si>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</si>
  <si>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</si>
  <si>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</si>
  <si>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</si>
  <si>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</si>
  <si>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</si>
  <si>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</si>
  <si>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</si>
  <si>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</si>
  <si>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</si>
  <si>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</si>
  <si>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</si>
  <si>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</si>
  <si>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</si>
  <si>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</si>
  <si>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</si>
  <si>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</si>
  <si>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</si>
  <si>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</si>
  <si>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</si>
  <si>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</si>
  <si>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</si>
  <si>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</si>
  <si>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</si>
  <si>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</si>
  <si>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</si>
  <si>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</si>
  <si>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</si>
  <si>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</si>
  <si>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</si>
  <si>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</si>
  <si>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</si>
  <si>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</si>
  <si>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</si>
  <si>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</si>
  <si>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</si>
  <si>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</si>
  <si>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</si>
  <si>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</si>
  <si>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</si>
  <si>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</si>
  <si>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</si>
  <si>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</si>
  <si>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</si>
  <si>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</si>
  <si>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</si>
  <si>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</si>
  <si>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</si>
  <si>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</si>
  <si>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</si>
  <si>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</si>
  <si>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</si>
  <si>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</si>
  <si>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</si>
  <si>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</si>
  <si>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</si>
  <si>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</si>
  <si>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</si>
  <si>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</si>
  <si>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</si>
  <si>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</si>
  <si>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</si>
  <si>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</si>
  <si>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</si>
  <si>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</si>
  <si>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</si>
  <si>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</si>
  <si>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</si>
  <si>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</si>
  <si>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</si>
  <si>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</si>
  <si>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</si>
  <si>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</si>
  <si>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</si>
  <si>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</si>
  <si>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</si>
  <si>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</si>
  <si>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</si>
  <si>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</si>
  <si>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</si>
  <si>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</si>
  <si>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</si>
  <si>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</si>
  <si>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</si>
  <si>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</si>
  <si>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</si>
  <si>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</si>
  <si>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</si>
  <si>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</si>
  <si>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</si>
  <si>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</si>
  <si>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</si>
  <si>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</si>
  <si>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</si>
  <si>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</si>
  <si>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</si>
  <si>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</si>
  <si>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</si>
  <si>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</si>
  <si>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</si>
  <si>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</si>
  <si>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</si>
  <si>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</si>
  <si>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</si>
  <si>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</si>
  <si>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</si>
  <si>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</si>
  <si>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</si>
  <si>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</si>
  <si>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</si>
  <si>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</si>
  <si>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</si>
  <si>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</si>
  <si>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</si>
  <si>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</si>
  <si>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</si>
  <si>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</si>
  <si>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</si>
  <si>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</si>
  <si>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</si>
  <si>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</si>
  <si>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</si>
  <si>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</si>
  <si>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</si>
  <si>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</si>
  <si>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</si>
  <si>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</si>
  <si>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</si>
  <si>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</si>
  <si>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</si>
  <si>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</si>
  <si>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</si>
  <si>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</si>
  <si>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</si>
  <si>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</si>
  <si>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</si>
  <si>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</si>
  <si>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</si>
  <si>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</si>
  <si>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</si>
  <si>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</si>
  <si>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</si>
  <si>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</si>
  <si>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</si>
  <si>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</si>
  <si>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</si>
  <si>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</si>
  <si>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</si>
  <si>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</si>
  <si>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</si>
  <si>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</si>
  <si>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</si>
  <si>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</si>
  <si>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</si>
  <si>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</si>
  <si>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</si>
  <si>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</si>
  <si>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</si>
  <si>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</si>
  <si>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</si>
  <si>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</si>
  <si>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</si>
  <si>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</si>
  <si>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</si>
  <si>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</si>
  <si>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</si>
  <si>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</si>
  <si>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</si>
  <si>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</si>
  <si>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</si>
  <si>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</si>
  <si>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</si>
  <si>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</si>
  <si>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</si>
  <si>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</si>
  <si>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</si>
  <si>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</si>
  <si>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</si>
  <si>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</si>
  <si>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</si>
  <si>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</si>
  <si>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</si>
  <si>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</si>
  <si>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</si>
  <si>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</si>
  <si>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</si>
  <si>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</si>
  <si>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</si>
  <si>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</si>
  <si>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</si>
  <si>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</si>
  <si>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</si>
  <si>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</si>
  <si>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</si>
  <si>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</si>
  <si>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</si>
  <si>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</si>
  <si>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</si>
  <si>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</si>
  <si>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</si>
  <si>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</si>
  <si>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</si>
  <si>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</si>
  <si>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</si>
  <si>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</si>
  <si>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</si>
  <si>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</si>
  <si>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</si>
  <si>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</si>
  <si>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</si>
  <si>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</si>
  <si>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</si>
  <si>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</si>
  <si>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</si>
  <si>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</si>
  <si>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</si>
  <si>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</si>
  <si>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</si>
  <si>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</si>
  <si>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</si>
  <si>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</si>
  <si>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</si>
  <si>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</si>
  <si>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</si>
  <si>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</si>
  <si>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</si>
  <si>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</si>
  <si>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</si>
  <si>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</si>
  <si>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</si>
  <si>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</si>
  <si>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</si>
  <si>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</si>
  <si>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</si>
  <si>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</si>
  <si>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</si>
  <si>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</si>
  <si>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</si>
  <si>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</si>
  <si>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</si>
  <si>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</si>
  <si>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</si>
  <si>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</si>
  <si>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</si>
  <si>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</si>
  <si>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</si>
  <si>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</si>
  <si>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</si>
  <si>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</si>
  <si>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</si>
  <si>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</si>
  <si>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</si>
  <si>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</si>
  <si>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</si>
  <si>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</si>
  <si>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</si>
  <si>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</si>
  <si>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</si>
  <si>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</si>
  <si>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</si>
  <si>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</si>
  <si>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</si>
  <si>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</si>
  <si>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</si>
  <si>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</si>
  <si>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</si>
  <si>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</si>
  <si>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</si>
  <si>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</si>
  <si>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</si>
  <si>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</si>
  <si>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</si>
  <si>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</si>
  <si>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</si>
  <si>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</si>
  <si>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</si>
  <si>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</si>
  <si>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</si>
  <si>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</si>
  <si>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</si>
  <si>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</si>
  <si>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</si>
  <si>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</si>
  <si>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</si>
  <si>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</si>
  <si>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</si>
  <si>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</si>
  <si>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</si>
  <si>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</si>
  <si>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</si>
  <si>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</si>
  <si>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</si>
  <si>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</si>
  <si>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</si>
  <si>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</si>
  <si>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</si>
  <si>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</si>
  <si>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</si>
  <si>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</si>
  <si>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</si>
  <si>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</si>
  <si>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</si>
  <si>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</si>
  <si>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</si>
  <si>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</si>
  <si>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</si>
  <si>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</si>
  <si>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</si>
  <si>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</si>
  <si>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</si>
  <si>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</si>
  <si>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</si>
  <si>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</si>
  <si>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</si>
  <si>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</si>
  <si>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</si>
  <si>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</si>
  <si>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</si>
  <si>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</si>
  <si>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</si>
  <si>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</si>
  <si>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</si>
  <si>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</si>
  <si>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</si>
  <si>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</si>
  <si>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</si>
  <si>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</si>
  <si>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</si>
  <si>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</si>
  <si>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</si>
  <si>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</si>
  <si>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</si>
  <si>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</si>
  <si>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</si>
  <si>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</si>
  <si>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</si>
  <si>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</si>
  <si>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</si>
  <si>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</si>
  <si>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</si>
  <si>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</si>
  <si>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</si>
  <si>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</si>
  <si>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</si>
  <si>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</si>
  <si>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</si>
  <si>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</si>
  <si>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</si>
  <si>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</si>
  <si>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</si>
  <si>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</si>
  <si>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</si>
  <si>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</si>
  <si>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</si>
  <si>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</si>
  <si>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</si>
  <si>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</si>
  <si>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</si>
  <si>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</si>
  <si>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</si>
  <si>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</si>
  <si>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</si>
  <si>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</si>
  <si>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</si>
  <si>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</si>
  <si>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</si>
  <si>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</si>
  <si>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</si>
  <si>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</si>
  <si>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</si>
  <si>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</si>
  <si>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</si>
  <si>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</si>
  <si>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</si>
  <si>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</si>
  <si>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</si>
  <si>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</si>
  <si>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</si>
  <si>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</si>
  <si>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</si>
  <si>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</si>
  <si>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</si>
  <si>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</si>
  <si>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</si>
  <si>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</si>
  <si>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</si>
  <si>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</si>
  <si>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</si>
  <si>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</si>
  <si>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</si>
  <si>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</si>
  <si>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</si>
  <si>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</si>
  <si>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</si>
  <si>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</si>
  <si>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</si>
  <si>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</si>
  <si>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</si>
  <si>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</si>
  <si>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</si>
  <si>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</si>
  <si>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</si>
  <si>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</si>
  <si>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</si>
  <si>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</si>
  <si>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</si>
  <si>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</si>
  <si>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</si>
  <si>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</si>
  <si>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</si>
  <si>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</si>
  <si>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</si>
  <si>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</si>
  <si>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</si>
  <si>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</si>
  <si>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</si>
  <si>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</si>
  <si>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</si>
  <si>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</si>
  <si>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</si>
  <si>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</si>
  <si>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</si>
  <si>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</si>
  <si>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</si>
  <si>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</si>
  <si>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</si>
  <si>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</si>
  <si>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</si>
  <si>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</si>
  <si>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</si>
  <si>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</si>
  <si>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</si>
  <si>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</si>
  <si>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</si>
  <si>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</si>
  <si>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</si>
  <si>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</si>
  <si>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</si>
  <si>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</si>
  <si>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</si>
  <si>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</si>
  <si>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</si>
  <si>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</si>
  <si>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</si>
  <si>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</si>
  <si>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</si>
  <si>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</si>
  <si>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</si>
  <si>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</si>
  <si>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</si>
  <si>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</si>
  <si>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</si>
  <si>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</si>
  <si>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</si>
  <si>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</si>
  <si>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</si>
  <si>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</si>
  <si>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</si>
  <si>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</si>
  <si>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</si>
  <si>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</si>
  <si>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</si>
  <si>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</si>
  <si>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</si>
  <si>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</si>
  <si>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</si>
  <si>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</si>
  <si>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</si>
  <si>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</si>
  <si>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</si>
  <si>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</si>
  <si>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</si>
  <si>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</si>
  <si>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</si>
  <si>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</si>
  <si>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</si>
  <si>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</si>
  <si>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</si>
  <si>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</si>
  <si>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</si>
  <si>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</si>
  <si>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</si>
  <si>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</si>
  <si>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</si>
  <si>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</si>
  <si>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</si>
  <si>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</si>
  <si>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</si>
  <si>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</si>
  <si>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</si>
  <si>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LISBON REGIONAL SCHOOL DISTRICT</t>
  </si>
  <si>
    <t>2//1993</t>
  </si>
  <si>
    <t>7//2002</t>
  </si>
  <si>
    <t>9//2008</t>
  </si>
  <si>
    <t>2//2013</t>
  </si>
  <si>
    <t>8//2012</t>
  </si>
  <si>
    <t>9//2013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</si>
</sst>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306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37923.21</v>
      </c>
      <c r="G9" s="18">
        <v>-5908.15</v>
      </c>
      <c r="H9" s="18">
        <v>-70849.8</v>
      </c>
      <c r="I9" s="18"/>
      <c r="J9" s="67">
        <f>SUM(I438)</f>
        <v>119310.5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19596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678.52</v>
      </c>
      <c r="G13" s="18">
        <v>14177.44</v>
      </c>
      <c r="H13" s="18">
        <v>75315.360000000001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85711.2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143908.93</v>
      </c>
      <c r="G19" s="41">
        <f>SUM(G9:G18)</f>
        <v>8269.2900000000009</v>
      </c>
      <c r="H19" s="41">
        <f>SUM(H9:H18)</f>
        <v>4465.5599999999977</v>
      </c>
      <c r="I19" s="41">
        <f>SUM(I9:I18)</f>
        <v>0</v>
      </c>
      <c r="J19" s="41">
        <f>SUM(J9:J18)</f>
        <v>119310.5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72537.53</v>
      </c>
      <c r="G25" s="145"/>
      <c r="H25" s="18">
        <v>4465.5600000000004</v>
      </c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72537.53</v>
      </c>
      <c r="G32" s="41">
        <f>SUM(G22:G31)</f>
        <v>0</v>
      </c>
      <c r="H32" s="41">
        <f>SUM(H22:H31)</f>
        <v>4465.5600000000004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8269.2900000000009</v>
      </c>
      <c r="H47" s="18">
        <v>0</v>
      </c>
      <c r="I47" s="18"/>
      <c r="J47" s="13">
        <f>SUM(I458)</f>
        <v>119310.5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51371.4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71371.399999999994</v>
      </c>
      <c r="G50" s="41">
        <f>SUM(G35:G49)</f>
        <v>8269.2900000000009</v>
      </c>
      <c r="H50" s="41">
        <f>SUM(H35:H49)</f>
        <v>0</v>
      </c>
      <c r="I50" s="41">
        <f>SUM(I35:I49)</f>
        <v>0</v>
      </c>
      <c r="J50" s="41">
        <f>SUM(J35:J49)</f>
        <v>119310.5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143908.93</v>
      </c>
      <c r="G51" s="41">
        <f>G50+G32</f>
        <v>8269.2900000000009</v>
      </c>
      <c r="H51" s="41">
        <f>H50+H32</f>
        <v>4465.5600000000004</v>
      </c>
      <c r="I51" s="41">
        <f>I50+I32</f>
        <v>0</v>
      </c>
      <c r="J51" s="41">
        <f>J50+J32</f>
        <v>119310.5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2072019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2072019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13708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595118.18000000005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23083.48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631909.66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585.88</v>
      </c>
      <c r="G95" s="18"/>
      <c r="H95" s="18"/>
      <c r="I95" s="18"/>
      <c r="J95" s="18">
        <v>102.4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41703.53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60566.49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61152.369999999995</v>
      </c>
      <c r="G110" s="41">
        <f>SUM(G95:G109)</f>
        <v>41703.53</v>
      </c>
      <c r="H110" s="41">
        <f>SUM(H95:H109)</f>
        <v>0</v>
      </c>
      <c r="I110" s="41">
        <f>SUM(I95:I109)</f>
        <v>0</v>
      </c>
      <c r="J110" s="41">
        <f>SUM(J95:J109)</f>
        <v>102.4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2765081.0300000003</v>
      </c>
      <c r="G111" s="41">
        <f>G59+G110</f>
        <v>41703.53</v>
      </c>
      <c r="H111" s="41">
        <f>H59+H78+H93+H110</f>
        <v>0</v>
      </c>
      <c r="I111" s="41">
        <f>I59+I110</f>
        <v>0</v>
      </c>
      <c r="J111" s="41">
        <f>J59+J110</f>
        <v>102.4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2020624.26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395228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1750.74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2417603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107743.82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120865.54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5985.56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1770.41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234594.91999999998</v>
      </c>
      <c r="G135" s="41">
        <f>SUM(G122:G134)</f>
        <v>1770.41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2652197.92</v>
      </c>
      <c r="G139" s="41">
        <f>G120+SUM(G135:G136)</f>
        <v>1770.41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145676.51999999999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39651.08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6851.91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94268.13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117125.32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67538.22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67538.22</v>
      </c>
      <c r="G161" s="41">
        <f>SUM(G149:G160)</f>
        <v>94268.13</v>
      </c>
      <c r="H161" s="41">
        <f>SUM(H149:H160)</f>
        <v>309304.82999999996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912.85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68451.070000000007</v>
      </c>
      <c r="G168" s="41">
        <f>G146+G161+SUM(G162:G167)</f>
        <v>94268.13</v>
      </c>
      <c r="H168" s="41">
        <f>H146+H161+SUM(H162:H167)</f>
        <v>309304.82999999996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19596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19596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19596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5505326.0200000005</v>
      </c>
      <c r="G192" s="47">
        <f>G111+G139+G168+G191</f>
        <v>137742.07</v>
      </c>
      <c r="H192" s="47">
        <f>H111+H139+H168+H191</f>
        <v>309304.82999999996</v>
      </c>
      <c r="I192" s="47">
        <f>I111+I139+I168+I191</f>
        <v>0</v>
      </c>
      <c r="J192" s="47">
        <f>J111+J139+J191</f>
        <v>20102.400000000001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610838.53</v>
      </c>
      <c r="G196" s="18">
        <v>317653.43</v>
      </c>
      <c r="H196" s="18">
        <v>940.5</v>
      </c>
      <c r="I196" s="18">
        <v>9687.6299999999992</v>
      </c>
      <c r="J196" s="18">
        <v>1470.95</v>
      </c>
      <c r="K196" s="18"/>
      <c r="L196" s="19">
        <f>SUM(F196:K196)</f>
        <v>940591.03999999992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148910.57</v>
      </c>
      <c r="G197" s="18">
        <v>70612.009999999995</v>
      </c>
      <c r="H197" s="18">
        <v>52686.65</v>
      </c>
      <c r="I197" s="18">
        <v>80.989999999999995</v>
      </c>
      <c r="J197" s="18"/>
      <c r="K197" s="18"/>
      <c r="L197" s="19">
        <f>SUM(F197:K197)</f>
        <v>272290.22000000003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57245</v>
      </c>
      <c r="G201" s="18">
        <v>31925.46</v>
      </c>
      <c r="H201" s="18">
        <v>54034.9</v>
      </c>
      <c r="I201" s="18">
        <v>919.05</v>
      </c>
      <c r="J201" s="18"/>
      <c r="K201" s="18"/>
      <c r="L201" s="19">
        <f t="shared" ref="L201:L207" si="0">SUM(F201:K201)</f>
        <v>144124.40999999997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21142.89</v>
      </c>
      <c r="G202" s="18">
        <v>1874.81</v>
      </c>
      <c r="H202" s="18">
        <v>1657</v>
      </c>
      <c r="I202" s="18">
        <v>2802.04</v>
      </c>
      <c r="J202" s="18">
        <v>1155</v>
      </c>
      <c r="K202" s="18">
        <v>5389.28</v>
      </c>
      <c r="L202" s="19">
        <f t="shared" si="0"/>
        <v>34021.020000000004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4699.5</v>
      </c>
      <c r="G203" s="18">
        <v>359.54</v>
      </c>
      <c r="H203" s="18">
        <v>86342.9</v>
      </c>
      <c r="I203" s="18"/>
      <c r="J203" s="18"/>
      <c r="K203" s="18">
        <v>8356.0400000000009</v>
      </c>
      <c r="L203" s="19">
        <f t="shared" si="0"/>
        <v>99757.979999999981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54236.480000000003</v>
      </c>
      <c r="G204" s="18">
        <v>22923.23</v>
      </c>
      <c r="H204" s="18">
        <v>6648.38</v>
      </c>
      <c r="I204" s="18">
        <v>6774</v>
      </c>
      <c r="J204" s="18">
        <v>239.34</v>
      </c>
      <c r="K204" s="18">
        <v>900.81</v>
      </c>
      <c r="L204" s="19">
        <f t="shared" si="0"/>
        <v>91722.240000000005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38144.699999999997</v>
      </c>
      <c r="G206" s="18">
        <v>10264.02</v>
      </c>
      <c r="H206" s="18">
        <v>35690.71</v>
      </c>
      <c r="I206" s="18">
        <v>58327.39</v>
      </c>
      <c r="J206" s="18"/>
      <c r="K206" s="18"/>
      <c r="L206" s="19">
        <f t="shared" si="0"/>
        <v>142426.82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54966.66</v>
      </c>
      <c r="I207" s="18"/>
      <c r="J207" s="18"/>
      <c r="K207" s="18"/>
      <c r="L207" s="19">
        <f t="shared" si="0"/>
        <v>54966.66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>
        <v>1326.06</v>
      </c>
      <c r="J208" s="18"/>
      <c r="K208" s="18"/>
      <c r="L208" s="19">
        <f>SUM(F208:K208)</f>
        <v>1326.06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935217.67</v>
      </c>
      <c r="G210" s="41">
        <f t="shared" si="1"/>
        <v>455612.5</v>
      </c>
      <c r="H210" s="41">
        <f t="shared" si="1"/>
        <v>292967.7</v>
      </c>
      <c r="I210" s="41">
        <f t="shared" si="1"/>
        <v>79917.16</v>
      </c>
      <c r="J210" s="41">
        <f t="shared" si="1"/>
        <v>2865.29</v>
      </c>
      <c r="K210" s="41">
        <f t="shared" si="1"/>
        <v>14646.13</v>
      </c>
      <c r="L210" s="41">
        <f t="shared" si="1"/>
        <v>1781226.45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437185.98</v>
      </c>
      <c r="G214" s="18">
        <v>229691.02</v>
      </c>
      <c r="H214" s="18"/>
      <c r="I214" s="18">
        <v>4915.8100000000004</v>
      </c>
      <c r="J214" s="18">
        <v>1730.79</v>
      </c>
      <c r="K214" s="18"/>
      <c r="L214" s="19">
        <f>SUM(F214:K214)</f>
        <v>673523.60000000009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93641.62</v>
      </c>
      <c r="G215" s="18">
        <v>32947.49</v>
      </c>
      <c r="H215" s="18">
        <v>37878.54</v>
      </c>
      <c r="I215" s="18"/>
      <c r="J215" s="18"/>
      <c r="K215" s="18"/>
      <c r="L215" s="19">
        <f>SUM(F215:K215)</f>
        <v>164467.65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45599</v>
      </c>
      <c r="G216" s="18">
        <v>13289.81</v>
      </c>
      <c r="H216" s="18"/>
      <c r="I216" s="18">
        <v>1253.72</v>
      </c>
      <c r="J216" s="18">
        <v>1633.37</v>
      </c>
      <c r="K216" s="18"/>
      <c r="L216" s="19">
        <f>SUM(F216:K216)</f>
        <v>61775.9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12834</v>
      </c>
      <c r="G217" s="18">
        <v>2451.79</v>
      </c>
      <c r="H217" s="18">
        <v>5730</v>
      </c>
      <c r="I217" s="18">
        <v>3050</v>
      </c>
      <c r="J217" s="18">
        <v>1629</v>
      </c>
      <c r="K217" s="18">
        <v>1360.6</v>
      </c>
      <c r="L217" s="19">
        <f>SUM(F217:K217)</f>
        <v>27055.39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23193.88</v>
      </c>
      <c r="G219" s="18">
        <v>11746.75</v>
      </c>
      <c r="H219" s="18">
        <v>40840.089999999997</v>
      </c>
      <c r="I219" s="18">
        <v>204.54</v>
      </c>
      <c r="J219" s="18"/>
      <c r="K219" s="18"/>
      <c r="L219" s="19">
        <f t="shared" ref="L219:L225" si="2">SUM(F219:K219)</f>
        <v>75985.259999999995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13492.93</v>
      </c>
      <c r="G220" s="18">
        <v>1191.1400000000001</v>
      </c>
      <c r="H220" s="18">
        <v>1657</v>
      </c>
      <c r="I220" s="18">
        <v>2486.9899999999998</v>
      </c>
      <c r="J220" s="18">
        <v>596.16999999999996</v>
      </c>
      <c r="K220" s="18">
        <v>3774.11</v>
      </c>
      <c r="L220" s="19">
        <f t="shared" si="2"/>
        <v>23198.339999999997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3012.5</v>
      </c>
      <c r="G221" s="18">
        <v>230.48</v>
      </c>
      <c r="H221" s="18">
        <v>55348</v>
      </c>
      <c r="I221" s="18"/>
      <c r="J221" s="18"/>
      <c r="K221" s="18">
        <v>5356.44</v>
      </c>
      <c r="L221" s="19">
        <f t="shared" si="2"/>
        <v>63947.420000000006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36505.1</v>
      </c>
      <c r="G222" s="18">
        <v>15618.08</v>
      </c>
      <c r="H222" s="18">
        <v>5848.57</v>
      </c>
      <c r="I222" s="18">
        <v>4500.24</v>
      </c>
      <c r="J222" s="18">
        <v>239.35</v>
      </c>
      <c r="K222" s="18">
        <v>810.81</v>
      </c>
      <c r="L222" s="19">
        <f t="shared" si="2"/>
        <v>63522.149999999994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23976.28</v>
      </c>
      <c r="G224" s="18">
        <v>6453.03</v>
      </c>
      <c r="H224" s="18">
        <v>35604.019999999997</v>
      </c>
      <c r="I224" s="18">
        <v>37737.26</v>
      </c>
      <c r="J224" s="18"/>
      <c r="K224" s="18"/>
      <c r="L224" s="19">
        <f t="shared" si="2"/>
        <v>103770.59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43998.67</v>
      </c>
      <c r="I225" s="18"/>
      <c r="J225" s="18"/>
      <c r="K225" s="18"/>
      <c r="L225" s="19">
        <f t="shared" si="2"/>
        <v>43998.67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v>16167.24</v>
      </c>
      <c r="I226" s="18">
        <v>5644.28</v>
      </c>
      <c r="J226" s="18">
        <v>662.74</v>
      </c>
      <c r="K226" s="18"/>
      <c r="L226" s="19">
        <f>SUM(F226:K226)</f>
        <v>22474.260000000002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689441.29</v>
      </c>
      <c r="G228" s="41">
        <f>SUM(G214:G227)</f>
        <v>313619.59000000003</v>
      </c>
      <c r="H228" s="41">
        <f>SUM(H214:H227)</f>
        <v>243072.13</v>
      </c>
      <c r="I228" s="41">
        <f>SUM(I214:I227)</f>
        <v>59792.840000000004</v>
      </c>
      <c r="J228" s="41">
        <f>SUM(J214:J227)</f>
        <v>6491.42</v>
      </c>
      <c r="K228" s="41">
        <f t="shared" si="3"/>
        <v>11301.96</v>
      </c>
      <c r="L228" s="41">
        <f t="shared" si="3"/>
        <v>1323719.23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544102.55000000005</v>
      </c>
      <c r="G232" s="18">
        <v>234954.58</v>
      </c>
      <c r="H232" s="18">
        <v>345</v>
      </c>
      <c r="I232" s="18">
        <v>12834.35</v>
      </c>
      <c r="J232" s="18">
        <v>2513.27</v>
      </c>
      <c r="K232" s="18"/>
      <c r="L232" s="19">
        <f>SUM(F232:K232)</f>
        <v>794749.75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70970.86</v>
      </c>
      <c r="G233" s="18">
        <v>40777.71</v>
      </c>
      <c r="H233" s="18">
        <v>294251.34999999998</v>
      </c>
      <c r="I233" s="18"/>
      <c r="J233" s="18"/>
      <c r="K233" s="18"/>
      <c r="L233" s="19">
        <f>SUM(F233:K233)</f>
        <v>405999.92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78212</v>
      </c>
      <c r="G234" s="18">
        <v>27639.68</v>
      </c>
      <c r="H234" s="18">
        <v>42019.29</v>
      </c>
      <c r="I234" s="18">
        <v>543.04999999999995</v>
      </c>
      <c r="J234" s="18"/>
      <c r="K234" s="18"/>
      <c r="L234" s="19">
        <f>SUM(F234:K234)</f>
        <v>148414.01999999999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45876</v>
      </c>
      <c r="G235" s="18">
        <v>6870.8</v>
      </c>
      <c r="H235" s="18">
        <v>13650</v>
      </c>
      <c r="I235" s="18">
        <v>6050</v>
      </c>
      <c r="J235" s="18">
        <v>3838.14</v>
      </c>
      <c r="K235" s="18">
        <v>1114.32</v>
      </c>
      <c r="L235" s="19">
        <f>SUM(F235:K235)</f>
        <v>77399.260000000009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43074.5</v>
      </c>
      <c r="G237" s="18">
        <v>21814.63</v>
      </c>
      <c r="H237" s="18">
        <v>51290.97</v>
      </c>
      <c r="I237" s="18">
        <v>241.86</v>
      </c>
      <c r="J237" s="18"/>
      <c r="K237" s="18"/>
      <c r="L237" s="19">
        <f t="shared" ref="L237:L243" si="4">SUM(F237:K237)</f>
        <v>116421.96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10835.11</v>
      </c>
      <c r="G238" s="18">
        <v>890.52</v>
      </c>
      <c r="H238" s="18">
        <v>1659</v>
      </c>
      <c r="I238" s="18">
        <v>2633.93</v>
      </c>
      <c r="J238" s="18">
        <v>880</v>
      </c>
      <c r="K238" s="18">
        <v>10524.26</v>
      </c>
      <c r="L238" s="19">
        <f t="shared" si="4"/>
        <v>27422.82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4338</v>
      </c>
      <c r="G239" s="18">
        <v>331.87</v>
      </c>
      <c r="H239" s="18">
        <v>79701.13</v>
      </c>
      <c r="I239" s="18"/>
      <c r="J239" s="18"/>
      <c r="K239" s="18">
        <v>7713.25</v>
      </c>
      <c r="L239" s="19">
        <f t="shared" si="4"/>
        <v>92084.25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71489.919999999998</v>
      </c>
      <c r="G240" s="18">
        <v>30599.1</v>
      </c>
      <c r="H240" s="18">
        <v>6636.07</v>
      </c>
      <c r="I240" s="18">
        <v>4872.2299999999996</v>
      </c>
      <c r="J240" s="18">
        <v>241.3</v>
      </c>
      <c r="K240" s="18">
        <v>2952.96</v>
      </c>
      <c r="L240" s="19">
        <f t="shared" si="4"/>
        <v>116791.58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46863.05</v>
      </c>
      <c r="G242" s="18">
        <v>12610.28</v>
      </c>
      <c r="H242" s="18">
        <v>36745.96</v>
      </c>
      <c r="I242" s="18">
        <v>48269.67</v>
      </c>
      <c r="J242" s="18"/>
      <c r="K242" s="18"/>
      <c r="L242" s="19">
        <f t="shared" si="4"/>
        <v>144488.96000000002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97932.06</v>
      </c>
      <c r="I243" s="18"/>
      <c r="J243" s="18"/>
      <c r="K243" s="18"/>
      <c r="L243" s="19">
        <f t="shared" si="4"/>
        <v>97932.06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16170.1</v>
      </c>
      <c r="I244" s="18">
        <v>8251.73</v>
      </c>
      <c r="J244" s="18">
        <v>8369.58</v>
      </c>
      <c r="K244" s="18"/>
      <c r="L244" s="19">
        <f>SUM(F244:K244)</f>
        <v>32791.410000000003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915761.99000000011</v>
      </c>
      <c r="G246" s="41">
        <f t="shared" si="5"/>
        <v>376489.17</v>
      </c>
      <c r="H246" s="41">
        <f t="shared" si="5"/>
        <v>640400.93000000005</v>
      </c>
      <c r="I246" s="41">
        <f t="shared" si="5"/>
        <v>83696.819999999992</v>
      </c>
      <c r="J246" s="41">
        <f t="shared" si="5"/>
        <v>15842.29</v>
      </c>
      <c r="K246" s="41">
        <f t="shared" si="5"/>
        <v>22304.79</v>
      </c>
      <c r="L246" s="41">
        <f t="shared" si="5"/>
        <v>2054495.99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2540420.9500000002</v>
      </c>
      <c r="G256" s="41">
        <f t="shared" si="8"/>
        <v>1145721.26</v>
      </c>
      <c r="H256" s="41">
        <f t="shared" si="8"/>
        <v>1176440.7600000002</v>
      </c>
      <c r="I256" s="41">
        <f t="shared" si="8"/>
        <v>223406.82</v>
      </c>
      <c r="J256" s="41">
        <f t="shared" si="8"/>
        <v>25199</v>
      </c>
      <c r="K256" s="41">
        <f t="shared" si="8"/>
        <v>48252.88</v>
      </c>
      <c r="L256" s="41">
        <f t="shared" si="8"/>
        <v>5159441.67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290377.3</v>
      </c>
      <c r="L259" s="19">
        <f>SUM(F259:K259)</f>
        <v>290377.3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103046.59</v>
      </c>
      <c r="L260" s="19">
        <f>SUM(F260:K260)</f>
        <v>103046.59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413423.89</v>
      </c>
      <c r="L269" s="41">
        <f t="shared" si="9"/>
        <v>413423.89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2540420.9500000002</v>
      </c>
      <c r="G270" s="42">
        <f t="shared" si="11"/>
        <v>1145721.26</v>
      </c>
      <c r="H270" s="42">
        <f t="shared" si="11"/>
        <v>1176440.7600000002</v>
      </c>
      <c r="I270" s="42">
        <f t="shared" si="11"/>
        <v>223406.82</v>
      </c>
      <c r="J270" s="42">
        <f t="shared" si="11"/>
        <v>25199</v>
      </c>
      <c r="K270" s="42">
        <f t="shared" si="11"/>
        <v>461676.77</v>
      </c>
      <c r="L270" s="42">
        <f t="shared" si="11"/>
        <v>5572865.5599999996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600</v>
      </c>
      <c r="G275" s="18">
        <v>113.82</v>
      </c>
      <c r="H275" s="18"/>
      <c r="I275" s="18">
        <v>1801.8</v>
      </c>
      <c r="J275" s="18"/>
      <c r="K275" s="18"/>
      <c r="L275" s="19">
        <f>SUM(F275:K275)</f>
        <v>2515.62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129601</v>
      </c>
      <c r="G276" s="18">
        <v>49904.55</v>
      </c>
      <c r="H276" s="18">
        <v>40169.15</v>
      </c>
      <c r="I276" s="18">
        <v>7962.22</v>
      </c>
      <c r="J276" s="18">
        <v>20719.900000000001</v>
      </c>
      <c r="K276" s="18"/>
      <c r="L276" s="19">
        <f>SUM(F276:K276)</f>
        <v>248356.81999999998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10898.06</v>
      </c>
      <c r="G281" s="18">
        <v>1844.75</v>
      </c>
      <c r="H281" s="18">
        <v>984.75</v>
      </c>
      <c r="I281" s="18">
        <v>486.5</v>
      </c>
      <c r="J281" s="18"/>
      <c r="K281" s="18"/>
      <c r="L281" s="19">
        <f t="shared" si="12"/>
        <v>14214.06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14445.02</v>
      </c>
      <c r="L282" s="19">
        <f t="shared" si="12"/>
        <v>14445.02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v>0</v>
      </c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141099.06</v>
      </c>
      <c r="G289" s="42">
        <f t="shared" si="13"/>
        <v>51863.12</v>
      </c>
      <c r="H289" s="42">
        <f t="shared" si="13"/>
        <v>41153.9</v>
      </c>
      <c r="I289" s="42">
        <f t="shared" si="13"/>
        <v>10250.52</v>
      </c>
      <c r="J289" s="42">
        <f t="shared" si="13"/>
        <v>20719.900000000001</v>
      </c>
      <c r="K289" s="42">
        <f t="shared" si="13"/>
        <v>14445.02</v>
      </c>
      <c r="L289" s="41">
        <f t="shared" si="13"/>
        <v>279531.52000000002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6985.94</v>
      </c>
      <c r="G300" s="18">
        <v>1182.52</v>
      </c>
      <c r="H300" s="18">
        <v>631.25</v>
      </c>
      <c r="I300" s="18">
        <v>311.87</v>
      </c>
      <c r="J300" s="18"/>
      <c r="K300" s="18"/>
      <c r="L300" s="19">
        <f t="shared" si="14"/>
        <v>9111.58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v>275.66000000000003</v>
      </c>
      <c r="L301" s="19">
        <f t="shared" si="14"/>
        <v>275.66000000000003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>
        <v>0</v>
      </c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6985.94</v>
      </c>
      <c r="G308" s="42">
        <f t="shared" si="15"/>
        <v>1182.52</v>
      </c>
      <c r="H308" s="42">
        <f t="shared" si="15"/>
        <v>631.25</v>
      </c>
      <c r="I308" s="42">
        <f t="shared" si="15"/>
        <v>311.87</v>
      </c>
      <c r="J308" s="42">
        <f t="shared" si="15"/>
        <v>0</v>
      </c>
      <c r="K308" s="42">
        <f t="shared" si="15"/>
        <v>275.66000000000003</v>
      </c>
      <c r="L308" s="41">
        <f t="shared" si="15"/>
        <v>9387.24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10059.76</v>
      </c>
      <c r="G319" s="18">
        <v>1702.84</v>
      </c>
      <c r="H319" s="18">
        <v>909</v>
      </c>
      <c r="I319" s="18">
        <v>449.08</v>
      </c>
      <c r="J319" s="18"/>
      <c r="K319" s="18"/>
      <c r="L319" s="19">
        <f t="shared" si="16"/>
        <v>13120.68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>
        <v>413.48</v>
      </c>
      <c r="L320" s="19">
        <f t="shared" si="16"/>
        <v>413.48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10059.76</v>
      </c>
      <c r="G327" s="42">
        <f t="shared" si="17"/>
        <v>1702.84</v>
      </c>
      <c r="H327" s="42">
        <f t="shared" si="17"/>
        <v>909</v>
      </c>
      <c r="I327" s="42">
        <f t="shared" si="17"/>
        <v>449.08</v>
      </c>
      <c r="J327" s="42">
        <f t="shared" si="17"/>
        <v>0</v>
      </c>
      <c r="K327" s="42">
        <f t="shared" si="17"/>
        <v>413.48</v>
      </c>
      <c r="L327" s="41">
        <f t="shared" si="17"/>
        <v>13534.16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6180</v>
      </c>
      <c r="G332" s="18">
        <v>1091.9100000000001</v>
      </c>
      <c r="H332" s="18"/>
      <c r="I332" s="18"/>
      <c r="J332" s="18"/>
      <c r="K332" s="18"/>
      <c r="L332" s="19">
        <f t="shared" si="18"/>
        <v>7271.91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6180</v>
      </c>
      <c r="G336" s="41">
        <f t="shared" si="19"/>
        <v>1091.9100000000001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7271.91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164324.76</v>
      </c>
      <c r="G337" s="41">
        <f t="shared" si="20"/>
        <v>55840.39</v>
      </c>
      <c r="H337" s="41">
        <f t="shared" si="20"/>
        <v>42694.15</v>
      </c>
      <c r="I337" s="41">
        <f t="shared" si="20"/>
        <v>11011.470000000001</v>
      </c>
      <c r="J337" s="41">
        <f t="shared" si="20"/>
        <v>20719.900000000001</v>
      </c>
      <c r="K337" s="41">
        <f t="shared" si="20"/>
        <v>15134.16</v>
      </c>
      <c r="L337" s="41">
        <f t="shared" si="20"/>
        <v>309724.82999999996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164324.76</v>
      </c>
      <c r="G351" s="41">
        <f>G337</f>
        <v>55840.39</v>
      </c>
      <c r="H351" s="41">
        <f>H337</f>
        <v>42694.15</v>
      </c>
      <c r="I351" s="41">
        <f>I337</f>
        <v>11011.470000000001</v>
      </c>
      <c r="J351" s="41">
        <f>J337</f>
        <v>20719.900000000001</v>
      </c>
      <c r="K351" s="47">
        <f>K337+K350</f>
        <v>15134.16</v>
      </c>
      <c r="L351" s="41">
        <f>L337+L350</f>
        <v>309724.82999999996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23141.24</v>
      </c>
      <c r="G357" s="18">
        <v>11276.89</v>
      </c>
      <c r="H357" s="18">
        <v>1724.63</v>
      </c>
      <c r="I357" s="18">
        <v>17782.28</v>
      </c>
      <c r="J357" s="18">
        <v>1785.82</v>
      </c>
      <c r="K357" s="18"/>
      <c r="L357" s="13">
        <f>SUM(F357:K357)</f>
        <v>55710.86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14834.12</v>
      </c>
      <c r="G358" s="18">
        <v>7228.78</v>
      </c>
      <c r="H358" s="18">
        <v>1105.54</v>
      </c>
      <c r="I358" s="18">
        <v>11398.9</v>
      </c>
      <c r="J358" s="18">
        <v>1144.76</v>
      </c>
      <c r="K358" s="18"/>
      <c r="L358" s="19">
        <f>SUM(F358:K358)</f>
        <v>35712.100000000006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21361.13</v>
      </c>
      <c r="G359" s="18">
        <v>10409.44</v>
      </c>
      <c r="H359" s="18">
        <v>1591.96</v>
      </c>
      <c r="I359" s="18">
        <v>16414.400000000001</v>
      </c>
      <c r="J359" s="18">
        <v>1648.46</v>
      </c>
      <c r="K359" s="18"/>
      <c r="L359" s="19">
        <f>SUM(F359:K359)</f>
        <v>51425.39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59336.490000000005</v>
      </c>
      <c r="G361" s="47">
        <f t="shared" si="22"/>
        <v>28915.11</v>
      </c>
      <c r="H361" s="47">
        <f t="shared" si="22"/>
        <v>4422.13</v>
      </c>
      <c r="I361" s="47">
        <f t="shared" si="22"/>
        <v>45595.58</v>
      </c>
      <c r="J361" s="47">
        <f t="shared" si="22"/>
        <v>4579.04</v>
      </c>
      <c r="K361" s="47">
        <f t="shared" si="22"/>
        <v>0</v>
      </c>
      <c r="L361" s="47">
        <f t="shared" si="22"/>
        <v>142848.35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15122.74</v>
      </c>
      <c r="G366" s="18">
        <v>9694.0499999999993</v>
      </c>
      <c r="H366" s="18">
        <v>13959.45</v>
      </c>
      <c r="I366" s="56">
        <f>SUM(F366:H366)</f>
        <v>38776.240000000005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2659.54</v>
      </c>
      <c r="G367" s="63">
        <v>1704.85</v>
      </c>
      <c r="H367" s="63">
        <v>2454.9499999999998</v>
      </c>
      <c r="I367" s="56">
        <f>SUM(F367:H367)</f>
        <v>6819.3399999999992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17782.28</v>
      </c>
      <c r="G368" s="47">
        <f>SUM(G366:G367)</f>
        <v>11398.9</v>
      </c>
      <c r="H368" s="47">
        <f>SUM(H366:H367)</f>
        <v>16414.400000000001</v>
      </c>
      <c r="I368" s="47">
        <f>SUM(I366:I367)</f>
        <v>45595.58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>
        <v>0</v>
      </c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20000</v>
      </c>
      <c r="H395" s="18">
        <v>68.2</v>
      </c>
      <c r="I395" s="18"/>
      <c r="J395" s="24" t="s">
        <v>289</v>
      </c>
      <c r="K395" s="24" t="s">
        <v>289</v>
      </c>
      <c r="L395" s="56">
        <f t="shared" si="26"/>
        <v>20068.2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34.200000000000003</v>
      </c>
      <c r="I396" s="18"/>
      <c r="J396" s="24" t="s">
        <v>289</v>
      </c>
      <c r="K396" s="24" t="s">
        <v>289</v>
      </c>
      <c r="L396" s="56">
        <f t="shared" si="26"/>
        <v>34.200000000000003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102.4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20102.400000000001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102.4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20102.400000000001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19596</v>
      </c>
      <c r="L421" s="56">
        <f t="shared" si="29"/>
        <v>19596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19596</v>
      </c>
      <c r="L426" s="47">
        <f t="shared" si="30"/>
        <v>19596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19596</v>
      </c>
      <c r="L433" s="47">
        <f t="shared" si="32"/>
        <v>19596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45790.52</v>
      </c>
      <c r="G438" s="18">
        <v>73519.98</v>
      </c>
      <c r="H438" s="18"/>
      <c r="I438" s="56">
        <f t="shared" ref="I438:I444" si="33">SUM(F438:H438)</f>
        <v>119310.5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45790.52</v>
      </c>
      <c r="G445" s="13">
        <f>SUM(G438:G444)</f>
        <v>73519.98</v>
      </c>
      <c r="H445" s="13">
        <f>SUM(H438:H444)</f>
        <v>0</v>
      </c>
      <c r="I445" s="13">
        <f>SUM(I438:I444)</f>
        <v>119310.5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45790.52</v>
      </c>
      <c r="G458" s="18">
        <v>73519.98</v>
      </c>
      <c r="H458" s="18"/>
      <c r="I458" s="56">
        <f t="shared" si="34"/>
        <v>119310.5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45790.52</v>
      </c>
      <c r="G459" s="83">
        <f>SUM(G453:G458)</f>
        <v>73519.98</v>
      </c>
      <c r="H459" s="83">
        <f>SUM(H453:H458)</f>
        <v>0</v>
      </c>
      <c r="I459" s="83">
        <f>SUM(I453:I458)</f>
        <v>119310.5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45790.52</v>
      </c>
      <c r="G460" s="42">
        <f>G451+G459</f>
        <v>73519.98</v>
      </c>
      <c r="H460" s="42">
        <f>H451+H459</f>
        <v>0</v>
      </c>
      <c r="I460" s="42">
        <f>I451+I459</f>
        <v>119310.5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138910.94</v>
      </c>
      <c r="G464" s="18">
        <v>13375.57</v>
      </c>
      <c r="H464" s="18">
        <v>420</v>
      </c>
      <c r="I464" s="18"/>
      <c r="J464" s="18">
        <v>118804.1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5505326.0199999996</v>
      </c>
      <c r="G467" s="18">
        <v>137742.07</v>
      </c>
      <c r="H467" s="18">
        <v>309304.83</v>
      </c>
      <c r="I467" s="18"/>
      <c r="J467" s="18">
        <v>20102.400000000001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5505326.0199999996</v>
      </c>
      <c r="G469" s="53">
        <f>SUM(G467:G468)</f>
        <v>137742.07</v>
      </c>
      <c r="H469" s="53">
        <f>SUM(H467:H468)</f>
        <v>309304.83</v>
      </c>
      <c r="I469" s="53">
        <f>SUM(I467:I468)</f>
        <v>0</v>
      </c>
      <c r="J469" s="53">
        <f>SUM(J467:J468)</f>
        <v>20102.400000000001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5572865.5599999996</v>
      </c>
      <c r="G471" s="18">
        <v>142848.35</v>
      </c>
      <c r="H471" s="18">
        <v>309724.83</v>
      </c>
      <c r="I471" s="18"/>
      <c r="J471" s="18">
        <v>19596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5572865.5599999996</v>
      </c>
      <c r="G473" s="53">
        <f>SUM(G471:G472)</f>
        <v>142848.35</v>
      </c>
      <c r="H473" s="53">
        <f>SUM(H471:H472)</f>
        <v>309724.83</v>
      </c>
      <c r="I473" s="53">
        <f>SUM(I471:I472)</f>
        <v>0</v>
      </c>
      <c r="J473" s="53">
        <f>SUM(J471:J472)</f>
        <v>19596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71371.400000000373</v>
      </c>
      <c r="G475" s="53">
        <f>(G464+G469)- G473</f>
        <v>8269.2900000000081</v>
      </c>
      <c r="H475" s="53">
        <f>(H464+H469)- H473</f>
        <v>0</v>
      </c>
      <c r="I475" s="53">
        <f>(I464+I469)- I473</f>
        <v>0</v>
      </c>
      <c r="J475" s="53">
        <f>(J464+J469)- J473</f>
        <v>119310.5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>
        <v>5</v>
      </c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155" t="s">
        <v>912</v>
      </c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913</v>
      </c>
      <c r="G491" s="155" t="s">
        <v>914</v>
      </c>
      <c r="H491" s="155" t="s">
        <v>915</v>
      </c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979939.45</v>
      </c>
      <c r="G492" s="18">
        <v>1995190</v>
      </c>
      <c r="H492" s="18">
        <v>197233</v>
      </c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8.5</v>
      </c>
      <c r="G493" s="18">
        <v>3.8</v>
      </c>
      <c r="H493" s="18">
        <v>3.88</v>
      </c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40198.199999999997</v>
      </c>
      <c r="G494" s="18">
        <v>475000</v>
      </c>
      <c r="H494" s="18">
        <v>118339</v>
      </c>
      <c r="I494" s="18"/>
      <c r="J494" s="18"/>
      <c r="K494" s="53">
        <f>SUM(F494:J494)</f>
        <v>633537.19999999995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20930.7</v>
      </c>
      <c r="G496" s="18">
        <v>230000</v>
      </c>
      <c r="H496" s="18">
        <v>39446.6</v>
      </c>
      <c r="I496" s="18"/>
      <c r="J496" s="18"/>
      <c r="K496" s="53">
        <f t="shared" si="35"/>
        <v>290377.3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19267.5</v>
      </c>
      <c r="G497" s="205">
        <v>245000</v>
      </c>
      <c r="H497" s="205">
        <v>78892.399999999994</v>
      </c>
      <c r="I497" s="205"/>
      <c r="J497" s="205"/>
      <c r="K497" s="206">
        <f t="shared" si="35"/>
        <v>343159.9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85732.5</v>
      </c>
      <c r="G498" s="18">
        <v>4900</v>
      </c>
      <c r="H498" s="18">
        <v>4594.05</v>
      </c>
      <c r="I498" s="18"/>
      <c r="J498" s="18"/>
      <c r="K498" s="53">
        <f t="shared" si="35"/>
        <v>95226.55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105000</v>
      </c>
      <c r="G499" s="42">
        <f>SUM(G497:G498)</f>
        <v>249900</v>
      </c>
      <c r="H499" s="42">
        <f>SUM(H497:H498)</f>
        <v>83486.45</v>
      </c>
      <c r="I499" s="42">
        <f>SUM(I497:I498)</f>
        <v>0</v>
      </c>
      <c r="J499" s="42">
        <f>SUM(J497:J498)</f>
        <v>0</v>
      </c>
      <c r="K499" s="42">
        <f t="shared" si="35"/>
        <v>438386.45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19267.5</v>
      </c>
      <c r="G500" s="205">
        <v>245000</v>
      </c>
      <c r="H500" s="205">
        <v>39446.6</v>
      </c>
      <c r="I500" s="205"/>
      <c r="J500" s="205"/>
      <c r="K500" s="206">
        <f t="shared" si="35"/>
        <v>303714.09999999998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85732.5</v>
      </c>
      <c r="G501" s="18">
        <v>4900</v>
      </c>
      <c r="H501" s="18">
        <v>3065.49</v>
      </c>
      <c r="I501" s="18"/>
      <c r="J501" s="18"/>
      <c r="K501" s="53">
        <f t="shared" si="35"/>
        <v>93697.99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105000</v>
      </c>
      <c r="G502" s="42">
        <f>SUM(G500:G501)</f>
        <v>249900</v>
      </c>
      <c r="H502" s="42">
        <f>SUM(H500:H501)</f>
        <v>42512.09</v>
      </c>
      <c r="I502" s="42">
        <f>SUM(I500:I501)</f>
        <v>0</v>
      </c>
      <c r="J502" s="42">
        <f>SUM(J500:J501)</f>
        <v>0</v>
      </c>
      <c r="K502" s="42">
        <f t="shared" si="35"/>
        <v>397412.08999999997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4534725.18</v>
      </c>
      <c r="G512" s="24" t="s">
        <v>289</v>
      </c>
      <c r="H512" s="18">
        <v>1358129.29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161395.38</v>
      </c>
      <c r="G513" s="24" t="s">
        <v>289</v>
      </c>
      <c r="H513" s="18">
        <v>112064.15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>
        <v>3225927.12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4696120.5599999996</v>
      </c>
      <c r="G516" s="42">
        <f>SUM(G510:G515)</f>
        <v>0</v>
      </c>
      <c r="H516" s="42">
        <f>SUM(H510:H515)</f>
        <v>1470193.44</v>
      </c>
      <c r="I516" s="42">
        <f>SUM(I510:I515)</f>
        <v>3225927.12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278511.57</v>
      </c>
      <c r="G520" s="18">
        <v>120516.56</v>
      </c>
      <c r="H520" s="18">
        <v>88355.8</v>
      </c>
      <c r="I520" s="18">
        <v>8043.21</v>
      </c>
      <c r="J520" s="18">
        <v>20719.900000000001</v>
      </c>
      <c r="K520" s="18"/>
      <c r="L520" s="88">
        <f>SUM(F520:K520)</f>
        <v>516147.04000000004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93641.62</v>
      </c>
      <c r="G521" s="18">
        <v>32947.49</v>
      </c>
      <c r="H521" s="18">
        <v>37878.54</v>
      </c>
      <c r="I521" s="18"/>
      <c r="J521" s="18"/>
      <c r="K521" s="18"/>
      <c r="L521" s="88">
        <f>SUM(F521:K521)</f>
        <v>164467.65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70970.86</v>
      </c>
      <c r="G522" s="18">
        <v>40777.71</v>
      </c>
      <c r="H522" s="18">
        <v>294251.34999999998</v>
      </c>
      <c r="I522" s="18"/>
      <c r="J522" s="18"/>
      <c r="K522" s="18"/>
      <c r="L522" s="88">
        <f>SUM(F522:K522)</f>
        <v>405999.92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443124.05</v>
      </c>
      <c r="G523" s="108">
        <f t="shared" ref="G523:L523" si="36">SUM(G520:G522)</f>
        <v>194241.75999999998</v>
      </c>
      <c r="H523" s="108">
        <f t="shared" si="36"/>
        <v>420485.68999999994</v>
      </c>
      <c r="I523" s="108">
        <f t="shared" si="36"/>
        <v>8043.21</v>
      </c>
      <c r="J523" s="108">
        <f t="shared" si="36"/>
        <v>20719.900000000001</v>
      </c>
      <c r="K523" s="108">
        <f t="shared" si="36"/>
        <v>0</v>
      </c>
      <c r="L523" s="89">
        <f t="shared" si="36"/>
        <v>1086614.6100000001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35267.120000000003</v>
      </c>
      <c r="I525" s="18"/>
      <c r="J525" s="18"/>
      <c r="K525" s="18"/>
      <c r="L525" s="88">
        <f>SUM(F525:K525)</f>
        <v>35267.120000000003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22607.13</v>
      </c>
      <c r="I526" s="18"/>
      <c r="J526" s="18"/>
      <c r="K526" s="18"/>
      <c r="L526" s="88">
        <f>SUM(F526:K526)</f>
        <v>22607.13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32554.27</v>
      </c>
      <c r="I527" s="18"/>
      <c r="J527" s="18"/>
      <c r="K527" s="18"/>
      <c r="L527" s="88">
        <f>SUM(F527:K527)</f>
        <v>32554.27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90428.52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90428.52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5105.96</v>
      </c>
      <c r="I540" s="18"/>
      <c r="J540" s="18"/>
      <c r="K540" s="18"/>
      <c r="L540" s="88">
        <f>SUM(F540:K540)</f>
        <v>5105.96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3273.05</v>
      </c>
      <c r="I541" s="18"/>
      <c r="J541" s="18"/>
      <c r="K541" s="18"/>
      <c r="L541" s="88">
        <f>SUM(F541:K541)</f>
        <v>3273.05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4713.1899999999996</v>
      </c>
      <c r="I542" s="18"/>
      <c r="J542" s="18"/>
      <c r="K542" s="18"/>
      <c r="L542" s="88">
        <f>SUM(F542:K542)</f>
        <v>4713.1899999999996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13092.2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13092.2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443124.05</v>
      </c>
      <c r="G544" s="89">
        <f t="shared" ref="G544:L544" si="41">G523+G528+G533+G538+G543</f>
        <v>194241.75999999998</v>
      </c>
      <c r="H544" s="89">
        <f t="shared" si="41"/>
        <v>524006.41</v>
      </c>
      <c r="I544" s="89">
        <f t="shared" si="41"/>
        <v>8043.21</v>
      </c>
      <c r="J544" s="89">
        <f t="shared" si="41"/>
        <v>20719.900000000001</v>
      </c>
      <c r="K544" s="89">
        <f t="shared" si="41"/>
        <v>0</v>
      </c>
      <c r="L544" s="89">
        <f t="shared" si="41"/>
        <v>1190135.33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516147.04000000004</v>
      </c>
      <c r="G548" s="87">
        <f>L525</f>
        <v>35267.120000000003</v>
      </c>
      <c r="H548" s="87">
        <f>L530</f>
        <v>0</v>
      </c>
      <c r="I548" s="87">
        <f>L535</f>
        <v>0</v>
      </c>
      <c r="J548" s="87">
        <f>L540</f>
        <v>5105.96</v>
      </c>
      <c r="K548" s="87">
        <f>SUM(F548:J548)</f>
        <v>556520.12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164467.65</v>
      </c>
      <c r="G549" s="87">
        <f>L526</f>
        <v>22607.13</v>
      </c>
      <c r="H549" s="87">
        <f>L531</f>
        <v>0</v>
      </c>
      <c r="I549" s="87">
        <f>L536</f>
        <v>0</v>
      </c>
      <c r="J549" s="87">
        <f>L541</f>
        <v>3273.05</v>
      </c>
      <c r="K549" s="87">
        <f>SUM(F549:J549)</f>
        <v>190347.83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405999.92</v>
      </c>
      <c r="G550" s="87">
        <f>L527</f>
        <v>32554.27</v>
      </c>
      <c r="H550" s="87">
        <f>L532</f>
        <v>0</v>
      </c>
      <c r="I550" s="87">
        <f>L537</f>
        <v>0</v>
      </c>
      <c r="J550" s="87">
        <f>L542</f>
        <v>4713.1899999999996</v>
      </c>
      <c r="K550" s="87">
        <f>SUM(F550:J550)</f>
        <v>443267.38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1086614.6100000001</v>
      </c>
      <c r="G551" s="89">
        <f t="shared" si="42"/>
        <v>90428.52</v>
      </c>
      <c r="H551" s="89">
        <f t="shared" si="42"/>
        <v>0</v>
      </c>
      <c r="I551" s="89">
        <f t="shared" si="42"/>
        <v>0</v>
      </c>
      <c r="J551" s="89">
        <f t="shared" si="42"/>
        <v>13092.2</v>
      </c>
      <c r="K551" s="89">
        <f t="shared" si="42"/>
        <v>1190135.33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>
        <v>4500</v>
      </c>
      <c r="I566" s="18"/>
      <c r="J566" s="18"/>
      <c r="K566" s="18"/>
      <c r="L566" s="88">
        <f>SUM(F566:K566)</f>
        <v>4500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4500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4500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4500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4500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28518</v>
      </c>
      <c r="I578" s="87">
        <f t="shared" si="47"/>
        <v>28518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48186.65</v>
      </c>
      <c r="G581" s="18">
        <v>37878.54</v>
      </c>
      <c r="H581" s="18">
        <v>131823.45000000001</v>
      </c>
      <c r="I581" s="87">
        <f t="shared" si="47"/>
        <v>217888.64000000001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133909.9</v>
      </c>
      <c r="I582" s="87">
        <f t="shared" si="47"/>
        <v>133909.9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42019.29</v>
      </c>
      <c r="I583" s="87">
        <f t="shared" si="47"/>
        <v>42019.29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46422.7</v>
      </c>
      <c r="I590" s="18">
        <v>29758.13</v>
      </c>
      <c r="J590" s="18">
        <v>42851.72</v>
      </c>
      <c r="K590" s="104">
        <f t="shared" ref="K590:K596" si="48">SUM(H590:J590)</f>
        <v>119032.55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5105.96</v>
      </c>
      <c r="I591" s="18">
        <v>3273.05</v>
      </c>
      <c r="J591" s="18">
        <v>4713.1899999999996</v>
      </c>
      <c r="K591" s="104">
        <f t="shared" si="48"/>
        <v>13092.2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24184</v>
      </c>
      <c r="K592" s="104">
        <f t="shared" si="48"/>
        <v>24184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8763.64</v>
      </c>
      <c r="J593" s="18">
        <v>23009.599999999999</v>
      </c>
      <c r="K593" s="104">
        <f t="shared" si="48"/>
        <v>31773.239999999998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3438</v>
      </c>
      <c r="I594" s="18">
        <v>2203.85</v>
      </c>
      <c r="J594" s="18">
        <v>3173.55</v>
      </c>
      <c r="K594" s="104">
        <f t="shared" si="48"/>
        <v>8815.4000000000015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54966.659999999996</v>
      </c>
      <c r="I597" s="108">
        <f>SUM(I590:I596)</f>
        <v>43998.67</v>
      </c>
      <c r="J597" s="108">
        <f>SUM(J590:J596)</f>
        <v>97932.060000000012</v>
      </c>
      <c r="K597" s="108">
        <f>SUM(K590:K596)</f>
        <v>196897.38999999998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23585.19</v>
      </c>
      <c r="I603" s="18">
        <v>6491.42</v>
      </c>
      <c r="J603" s="18">
        <v>15842.29</v>
      </c>
      <c r="K603" s="104">
        <f>SUM(H603:J603)</f>
        <v>45918.9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23585.19</v>
      </c>
      <c r="I604" s="108">
        <f>SUM(I601:I603)</f>
        <v>6491.42</v>
      </c>
      <c r="J604" s="108">
        <f>SUM(J601:J603)</f>
        <v>15842.29</v>
      </c>
      <c r="K604" s="108">
        <f>SUM(K601:K603)</f>
        <v>45918.9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5270</v>
      </c>
      <c r="G610" s="18">
        <v>991.24</v>
      </c>
      <c r="H610" s="18"/>
      <c r="I610" s="18"/>
      <c r="J610" s="18"/>
      <c r="K610" s="18"/>
      <c r="L610" s="88">
        <f>SUM(F610:K610)</f>
        <v>6261.24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2400</v>
      </c>
      <c r="G611" s="18">
        <v>518.4</v>
      </c>
      <c r="H611" s="18"/>
      <c r="I611" s="18"/>
      <c r="J611" s="18"/>
      <c r="K611" s="18"/>
      <c r="L611" s="88">
        <f>SUM(F611:K611)</f>
        <v>2918.4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7670</v>
      </c>
      <c r="G613" s="108">
        <f t="shared" si="49"/>
        <v>1509.6399999999999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9179.64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143908.93</v>
      </c>
      <c r="H616" s="109">
        <f>SUM(F51)</f>
        <v>143908.93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8269.2900000000009</v>
      </c>
      <c r="H617" s="109">
        <f>SUM(G51)</f>
        <v>8269.2900000000009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4465.5599999999977</v>
      </c>
      <c r="H618" s="109">
        <f>SUM(H51)</f>
        <v>4465.5600000000004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119310.5</v>
      </c>
      <c r="H620" s="109">
        <f>SUM(J51)</f>
        <v>119310.5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71371.399999999994</v>
      </c>
      <c r="H621" s="109">
        <f>F475</f>
        <v>71371.400000000373</v>
      </c>
      <c r="I621" s="121" t="s">
        <v>101</v>
      </c>
      <c r="J621" s="109">
        <f t="shared" ref="J621:J654" si="50">G621-H621</f>
        <v>-3.7834979593753815E-10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8269.2900000000009</v>
      </c>
      <c r="H622" s="109">
        <f>G475</f>
        <v>8269.2900000000081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119310.5</v>
      </c>
      <c r="H625" s="109">
        <f>J475</f>
        <v>119310.5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5505326.0200000005</v>
      </c>
      <c r="H626" s="104">
        <f>SUM(F467)</f>
        <v>5505326.0199999996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137742.07</v>
      </c>
      <c r="H627" s="104">
        <f>SUM(G467)</f>
        <v>137742.07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309304.82999999996</v>
      </c>
      <c r="H628" s="104">
        <f>SUM(H467)</f>
        <v>309304.83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20102.400000000001</v>
      </c>
      <c r="H630" s="104">
        <f>SUM(J467)</f>
        <v>20102.400000000001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5572865.5599999996</v>
      </c>
      <c r="H631" s="104">
        <f>SUM(F471)</f>
        <v>5572865.5599999996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309724.82999999996</v>
      </c>
      <c r="H632" s="104">
        <f>SUM(H471)</f>
        <v>309724.83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45595.58</v>
      </c>
      <c r="H633" s="104">
        <f>I368</f>
        <v>45595.58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142848.35</v>
      </c>
      <c r="H634" s="104">
        <f>SUM(G471)</f>
        <v>142848.35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20102.400000000001</v>
      </c>
      <c r="H636" s="164">
        <f>SUM(J467)</f>
        <v>20102.400000000001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19596</v>
      </c>
      <c r="H637" s="164">
        <f>SUM(J471)</f>
        <v>19596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45790.52</v>
      </c>
      <c r="H638" s="104">
        <f>SUM(F460)</f>
        <v>45790.52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73519.98</v>
      </c>
      <c r="H639" s="104">
        <f>SUM(G460)</f>
        <v>73519.98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119310.5</v>
      </c>
      <c r="H641" s="104">
        <f>SUM(I460)</f>
        <v>119310.5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102.4</v>
      </c>
      <c r="H643" s="104">
        <f>H407</f>
        <v>102.4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20102.400000000001</v>
      </c>
      <c r="H645" s="104">
        <f>L407</f>
        <v>20102.400000000001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196897.38999999998</v>
      </c>
      <c r="H646" s="104">
        <f>L207+L225+L243</f>
        <v>196897.39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45918.9</v>
      </c>
      <c r="H647" s="104">
        <f>(J256+J337)-(J254+J335)</f>
        <v>45918.9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54966.66</v>
      </c>
      <c r="H648" s="104">
        <f>H597</f>
        <v>54966.659999999996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43998.67</v>
      </c>
      <c r="H649" s="104">
        <f>I597</f>
        <v>43998.67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97932.06</v>
      </c>
      <c r="H650" s="104">
        <f>J597</f>
        <v>97932.060000000012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2116468.83</v>
      </c>
      <c r="G659" s="19">
        <f>(L228+L308+L358)</f>
        <v>1368818.57</v>
      </c>
      <c r="H659" s="19">
        <f>(L246+L327+L359)</f>
        <v>2119455.54</v>
      </c>
      <c r="I659" s="19">
        <f>SUM(F659:H659)</f>
        <v>5604742.9400000004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16264.377721799376</v>
      </c>
      <c r="G660" s="19">
        <f>(L358/IF(SUM(L357:L359)=0,1,SUM(L357:L359))*(SUM(G96:G109)))</f>
        <v>10425.886149283489</v>
      </c>
      <c r="H660" s="19">
        <f>(L359/IF(SUM(L357:L359)=0,1,SUM(L357:L359))*(SUM(G96:G109)))</f>
        <v>15013.266128917134</v>
      </c>
      <c r="I660" s="19">
        <f>SUM(F660:H660)</f>
        <v>41703.53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54966.66</v>
      </c>
      <c r="G661" s="19">
        <f>(L225+L305)-(J225+J305)</f>
        <v>43998.67</v>
      </c>
      <c r="H661" s="19">
        <f>(L243+L324)-(J243+J324)</f>
        <v>97932.06</v>
      </c>
      <c r="I661" s="19">
        <f>SUM(F661:H661)</f>
        <v>196897.39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78033.08</v>
      </c>
      <c r="G662" s="200">
        <f>SUM(G574:G586)+SUM(I601:I603)+L611</f>
        <v>47288.36</v>
      </c>
      <c r="H662" s="200">
        <f>SUM(H574:H586)+SUM(J601:J603)+L612</f>
        <v>352112.92999999993</v>
      </c>
      <c r="I662" s="19">
        <f>SUM(F662:H662)</f>
        <v>477434.36999999994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1967204.7122782008</v>
      </c>
      <c r="G663" s="19">
        <f>G659-SUM(G660:G662)</f>
        <v>1267105.6538507165</v>
      </c>
      <c r="H663" s="19">
        <f>H659-SUM(H660:H662)</f>
        <v>1654397.2838710831</v>
      </c>
      <c r="I663" s="19">
        <f>I659-SUM(I660:I662)</f>
        <v>4888707.6500000004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138.63</v>
      </c>
      <c r="G664" s="249">
        <v>100.23</v>
      </c>
      <c r="H664" s="249">
        <v>136.63</v>
      </c>
      <c r="I664" s="19">
        <f>SUM(F664:H664)</f>
        <v>375.49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14190.32</v>
      </c>
      <c r="G666" s="19">
        <f>ROUND(G663/G664,2)</f>
        <v>12641.98</v>
      </c>
      <c r="H666" s="19">
        <f>ROUND(H663/H664,2)</f>
        <v>12108.59</v>
      </c>
      <c r="I666" s="19">
        <f>ROUND(I663/I664,2)</f>
        <v>13019.54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-6.97</v>
      </c>
      <c r="I669" s="19">
        <f>SUM(F669:H669)</f>
        <v>-6.97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14190.32</v>
      </c>
      <c r="G671" s="19">
        <f>ROUND((G663+G668)/(G664+G669),2)</f>
        <v>12641.98</v>
      </c>
      <c r="H671" s="19">
        <f>ROUND((H663+H668)/(H664+H669),2)</f>
        <v>12759.5</v>
      </c>
      <c r="I671" s="19">
        <f>ROUND((I663+I668)/(I664+I669),2)</f>
        <v>13265.79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>&amp;CDOE 25 for 2011-2012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LISBON REGIONAL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1592727.06</v>
      </c>
      <c r="C9" s="230">
        <f>'DOE25'!G196+'DOE25'!G214+'DOE25'!G232+'DOE25'!G275+'DOE25'!G294+'DOE25'!G313</f>
        <v>782412.84999999986</v>
      </c>
    </row>
    <row r="10" spans="1:3">
      <c r="A10" t="s">
        <v>779</v>
      </c>
      <c r="B10" s="241">
        <v>1550982.46</v>
      </c>
      <c r="C10" s="241">
        <v>776453.61</v>
      </c>
    </row>
    <row r="11" spans="1:3">
      <c r="A11" t="s">
        <v>780</v>
      </c>
      <c r="B11" s="241">
        <v>14889.6</v>
      </c>
      <c r="C11" s="241">
        <v>3904.84</v>
      </c>
    </row>
    <row r="12" spans="1:3">
      <c r="A12" t="s">
        <v>781</v>
      </c>
      <c r="B12" s="241">
        <v>26855</v>
      </c>
      <c r="C12" s="241">
        <v>2054.4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1592727.06</v>
      </c>
      <c r="C13" s="232">
        <f>SUM(C10:C12)</f>
        <v>782412.85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443124.05</v>
      </c>
      <c r="C18" s="230">
        <f>'DOE25'!G197+'DOE25'!G215+'DOE25'!G233+'DOE25'!G276+'DOE25'!G295+'DOE25'!G314</f>
        <v>194241.76</v>
      </c>
    </row>
    <row r="19" spans="1:3">
      <c r="A19" t="s">
        <v>779</v>
      </c>
      <c r="B19" s="241">
        <v>260335</v>
      </c>
      <c r="C19" s="241">
        <v>117437.21</v>
      </c>
    </row>
    <row r="20" spans="1:3">
      <c r="A20" t="s">
        <v>780</v>
      </c>
      <c r="B20" s="241">
        <v>182789.05</v>
      </c>
      <c r="C20" s="241">
        <v>76804.55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443124.05</v>
      </c>
      <c r="C22" s="232">
        <f>SUM(C19:C21)</f>
        <v>194241.76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123811</v>
      </c>
      <c r="C27" s="235">
        <f>'DOE25'!G198+'DOE25'!G216+'DOE25'!G234+'DOE25'!G277+'DOE25'!G296+'DOE25'!G315</f>
        <v>40929.49</v>
      </c>
    </row>
    <row r="28" spans="1:3">
      <c r="A28" t="s">
        <v>779</v>
      </c>
      <c r="B28" s="241">
        <v>123811</v>
      </c>
      <c r="C28" s="241">
        <v>40929.49</v>
      </c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123811</v>
      </c>
      <c r="C31" s="232">
        <f>SUM(C28:C30)</f>
        <v>40929.49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58710</v>
      </c>
      <c r="C36" s="236">
        <f>'DOE25'!G199+'DOE25'!G217+'DOE25'!G235+'DOE25'!G278+'DOE25'!G297+'DOE25'!G316</f>
        <v>9322.59</v>
      </c>
    </row>
    <row r="37" spans="1:3">
      <c r="A37" t="s">
        <v>779</v>
      </c>
      <c r="B37" s="241">
        <v>58710</v>
      </c>
      <c r="C37" s="241">
        <v>9322.59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58710</v>
      </c>
      <c r="C40" s="232">
        <f>SUM(C37:C39)</f>
        <v>9322.59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LISBON REGIONAL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3566266.75</v>
      </c>
      <c r="D5" s="20">
        <f>SUM('DOE25'!L196:L199)+SUM('DOE25'!L214:L217)+SUM('DOE25'!L232:L235)-F5-G5</f>
        <v>3550976.31</v>
      </c>
      <c r="E5" s="244"/>
      <c r="F5" s="256">
        <f>SUM('DOE25'!J196:J199)+SUM('DOE25'!J214:J217)+SUM('DOE25'!J232:J235)</f>
        <v>12815.52</v>
      </c>
      <c r="G5" s="53">
        <f>SUM('DOE25'!K196:K199)+SUM('DOE25'!K214:K217)+SUM('DOE25'!K232:K235)</f>
        <v>2474.92</v>
      </c>
      <c r="H5" s="260"/>
    </row>
    <row r="6" spans="1:9">
      <c r="A6" s="32">
        <v>2100</v>
      </c>
      <c r="B6" t="s">
        <v>801</v>
      </c>
      <c r="C6" s="246">
        <f t="shared" si="0"/>
        <v>336531.63</v>
      </c>
      <c r="D6" s="20">
        <f>'DOE25'!L201+'DOE25'!L219+'DOE25'!L237-F6-G6</f>
        <v>336531.63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84642.18</v>
      </c>
      <c r="D7" s="20">
        <f>'DOE25'!L202+'DOE25'!L220+'DOE25'!L238-F7-G7</f>
        <v>62323.359999999993</v>
      </c>
      <c r="E7" s="244"/>
      <c r="F7" s="256">
        <f>'DOE25'!J202+'DOE25'!J220+'DOE25'!J238</f>
        <v>2631.17</v>
      </c>
      <c r="G7" s="53">
        <f>'DOE25'!K202+'DOE25'!K220+'DOE25'!K238</f>
        <v>19687.650000000001</v>
      </c>
      <c r="H7" s="260"/>
    </row>
    <row r="8" spans="1:9">
      <c r="A8" s="32">
        <v>2300</v>
      </c>
      <c r="B8" t="s">
        <v>802</v>
      </c>
      <c r="C8" s="246">
        <f t="shared" si="0"/>
        <v>147696.19999999998</v>
      </c>
      <c r="D8" s="244"/>
      <c r="E8" s="20">
        <f>'DOE25'!L203+'DOE25'!L221+'DOE25'!L239-F8-G8-D9-D11</f>
        <v>126270.46999999999</v>
      </c>
      <c r="F8" s="256">
        <f>'DOE25'!J203+'DOE25'!J221+'DOE25'!J239</f>
        <v>0</v>
      </c>
      <c r="G8" s="53">
        <f>'DOE25'!K203+'DOE25'!K221+'DOE25'!K239</f>
        <v>21425.73</v>
      </c>
      <c r="H8" s="260"/>
    </row>
    <row r="9" spans="1:9">
      <c r="A9" s="32">
        <v>2310</v>
      </c>
      <c r="B9" t="s">
        <v>818</v>
      </c>
      <c r="C9" s="246">
        <f t="shared" si="0"/>
        <v>71168.649999999994</v>
      </c>
      <c r="D9" s="245">
        <v>71168.649999999994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17025</v>
      </c>
      <c r="D10" s="244"/>
      <c r="E10" s="245">
        <v>17025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36924.800000000003</v>
      </c>
      <c r="D11" s="245">
        <v>36924.800000000003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272035.97000000003</v>
      </c>
      <c r="D12" s="20">
        <f>'DOE25'!L204+'DOE25'!L222+'DOE25'!L240-F12-G12</f>
        <v>266651.40000000002</v>
      </c>
      <c r="E12" s="244"/>
      <c r="F12" s="256">
        <f>'DOE25'!J204+'DOE25'!J222+'DOE25'!J240</f>
        <v>719.99</v>
      </c>
      <c r="G12" s="53">
        <f>'DOE25'!K204+'DOE25'!K222+'DOE25'!K240</f>
        <v>4664.58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390686.37</v>
      </c>
      <c r="D14" s="20">
        <f>'DOE25'!L206+'DOE25'!L224+'DOE25'!L242-F14-G14</f>
        <v>390686.37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196897.39</v>
      </c>
      <c r="D15" s="20">
        <f>'DOE25'!L207+'DOE25'!L225+'DOE25'!L243-F15-G15</f>
        <v>196897.39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56591.73000000001</v>
      </c>
      <c r="D16" s="244"/>
      <c r="E16" s="20">
        <f>'DOE25'!L208+'DOE25'!L226+'DOE25'!L244-F16-G16</f>
        <v>47559.410000000011</v>
      </c>
      <c r="F16" s="256">
        <f>'DOE25'!J208+'DOE25'!J226+'DOE25'!J244</f>
        <v>9032.32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393423.89</v>
      </c>
      <c r="D25" s="244"/>
      <c r="E25" s="244"/>
      <c r="F25" s="259"/>
      <c r="G25" s="257"/>
      <c r="H25" s="258">
        <f>'DOE25'!L259+'DOE25'!L260+'DOE25'!L340+'DOE25'!L341</f>
        <v>393423.89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104072.11</v>
      </c>
      <c r="D29" s="20">
        <f>'DOE25'!L357+'DOE25'!L358+'DOE25'!L359-'DOE25'!I366-F29-G29</f>
        <v>99493.07</v>
      </c>
      <c r="E29" s="244"/>
      <c r="F29" s="256">
        <f>'DOE25'!J357+'DOE25'!J358+'DOE25'!J359</f>
        <v>4579.04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309724.82999999996</v>
      </c>
      <c r="D31" s="20">
        <f>'DOE25'!L289+'DOE25'!L308+'DOE25'!L327+'DOE25'!L332+'DOE25'!L333+'DOE25'!L334-F31-G31</f>
        <v>273870.76999999996</v>
      </c>
      <c r="E31" s="244"/>
      <c r="F31" s="256">
        <f>'DOE25'!J289+'DOE25'!J308+'DOE25'!J327+'DOE25'!J332+'DOE25'!J333+'DOE25'!J334</f>
        <v>20719.900000000001</v>
      </c>
      <c r="G31" s="53">
        <f>'DOE25'!K289+'DOE25'!K308+'DOE25'!K327+'DOE25'!K332+'DOE25'!K333+'DOE25'!K334</f>
        <v>15134.16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5285523.7499999991</v>
      </c>
      <c r="E33" s="247">
        <f>SUM(E5:E31)</f>
        <v>190854.87999999998</v>
      </c>
      <c r="F33" s="247">
        <f>SUM(F5:F31)</f>
        <v>50497.94</v>
      </c>
      <c r="G33" s="247">
        <f>SUM(G5:G31)</f>
        <v>63387.040000000008</v>
      </c>
      <c r="H33" s="247">
        <f>SUM(H5:H31)</f>
        <v>393423.89</v>
      </c>
    </row>
    <row r="35" spans="2:8" ht="12" thickBot="1">
      <c r="B35" s="254" t="s">
        <v>847</v>
      </c>
      <c r="D35" s="255">
        <f>E33</f>
        <v>190854.87999999998</v>
      </c>
      <c r="E35" s="250"/>
    </row>
    <row r="36" spans="2:8" ht="12" thickTop="1">
      <c r="B36" t="s">
        <v>815</v>
      </c>
      <c r="D36" s="20">
        <f>D33</f>
        <v>5285523.7499999991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LISBON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37923.21</v>
      </c>
      <c r="D8" s="95">
        <f>'DOE25'!G9</f>
        <v>-5908.15</v>
      </c>
      <c r="E8" s="95">
        <f>'DOE25'!H9</f>
        <v>-70849.8</v>
      </c>
      <c r="F8" s="95">
        <f>'DOE25'!I9</f>
        <v>0</v>
      </c>
      <c r="G8" s="95">
        <f>'DOE25'!J9</f>
        <v>119310.5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19596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678.52</v>
      </c>
      <c r="D12" s="95">
        <f>'DOE25'!G13</f>
        <v>14177.44</v>
      </c>
      <c r="E12" s="95">
        <f>'DOE25'!H13</f>
        <v>75315.360000000001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85711.2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143908.93</v>
      </c>
      <c r="D18" s="41">
        <f>SUM(D8:D17)</f>
        <v>8269.2900000000009</v>
      </c>
      <c r="E18" s="41">
        <f>SUM(E8:E17)</f>
        <v>4465.5599999999977</v>
      </c>
      <c r="F18" s="41">
        <f>SUM(F8:F17)</f>
        <v>0</v>
      </c>
      <c r="G18" s="41">
        <f>SUM(G8:G17)</f>
        <v>119310.5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72537.53</v>
      </c>
      <c r="D24" s="95">
        <f>'DOE25'!G25</f>
        <v>0</v>
      </c>
      <c r="E24" s="95">
        <f>'DOE25'!H25</f>
        <v>4465.5600000000004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72537.53</v>
      </c>
      <c r="D31" s="41">
        <f>SUM(D21:D30)</f>
        <v>0</v>
      </c>
      <c r="E31" s="41">
        <f>SUM(E21:E30)</f>
        <v>4465.5600000000004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8269.2900000000009</v>
      </c>
      <c r="E46" s="95">
        <f>'DOE25'!H47</f>
        <v>0</v>
      </c>
      <c r="F46" s="95">
        <f>'DOE25'!I47</f>
        <v>0</v>
      </c>
      <c r="G46" s="95">
        <f>'DOE25'!J47</f>
        <v>119310.5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51371.4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71371.399999999994</v>
      </c>
      <c r="D49" s="41">
        <f>SUM(D34:D48)</f>
        <v>8269.2900000000009</v>
      </c>
      <c r="E49" s="41">
        <f>SUM(E34:E48)</f>
        <v>0</v>
      </c>
      <c r="F49" s="41">
        <f>SUM(F34:F48)</f>
        <v>0</v>
      </c>
      <c r="G49" s="41">
        <f>SUM(G34:G48)</f>
        <v>119310.5</v>
      </c>
      <c r="H49" s="124"/>
      <c r="I49" s="124"/>
    </row>
    <row r="50" spans="1:9" ht="12" thickTop="1">
      <c r="A50" s="38" t="s">
        <v>895</v>
      </c>
      <c r="B50" s="2"/>
      <c r="C50" s="41">
        <f>C49+C31</f>
        <v>143908.93</v>
      </c>
      <c r="D50" s="41">
        <f>D49+D31</f>
        <v>8269.2900000000009</v>
      </c>
      <c r="E50" s="41">
        <f>E49+E31</f>
        <v>4465.5600000000004</v>
      </c>
      <c r="F50" s="41">
        <f>F49+F31</f>
        <v>0</v>
      </c>
      <c r="G50" s="41">
        <f>G49+G31</f>
        <v>119310.5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2072019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631909.66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585.88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102.4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41703.53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60566.49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693062.03</v>
      </c>
      <c r="D61" s="130">
        <f>SUM(D56:D60)</f>
        <v>41703.53</v>
      </c>
      <c r="E61" s="130">
        <f>SUM(E56:E60)</f>
        <v>0</v>
      </c>
      <c r="F61" s="130">
        <f>SUM(F56:F60)</f>
        <v>0</v>
      </c>
      <c r="G61" s="130">
        <f>SUM(G56:G60)</f>
        <v>102.4</v>
      </c>
      <c r="H61"/>
      <c r="I61"/>
    </row>
    <row r="62" spans="1:9" ht="12" thickTop="1">
      <c r="A62" s="29" t="s">
        <v>175</v>
      </c>
      <c r="B62" s="6"/>
      <c r="C62" s="22">
        <f>C55+C61</f>
        <v>2765081.0300000003</v>
      </c>
      <c r="D62" s="22">
        <f>D55+D61</f>
        <v>41703.53</v>
      </c>
      <c r="E62" s="22">
        <f>E55+E61</f>
        <v>0</v>
      </c>
      <c r="F62" s="22">
        <f>F55+F61</f>
        <v>0</v>
      </c>
      <c r="G62" s="22">
        <f>G55+G61</f>
        <v>102.4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2020624.26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395228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1750.74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2417603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107743.82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120865.54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5985.56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1770.41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234594.91999999998</v>
      </c>
      <c r="D77" s="130">
        <f>SUM(D71:D76)</f>
        <v>1770.41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2652197.92</v>
      </c>
      <c r="D80" s="130">
        <f>SUM(D78:D79)+D77+D69</f>
        <v>1770.41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67538.22</v>
      </c>
      <c r="D87" s="95">
        <f>SUM('DOE25'!G152:G160)</f>
        <v>94268.13</v>
      </c>
      <c r="E87" s="95">
        <f>SUM('DOE25'!H152:H160)</f>
        <v>309304.82999999996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912.85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68451.070000000007</v>
      </c>
      <c r="D90" s="131">
        <f>SUM(D84:D89)</f>
        <v>94268.13</v>
      </c>
      <c r="E90" s="131">
        <f>SUM(E84:E89)</f>
        <v>309304.82999999996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19596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19596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>
      <c r="A103" s="33" t="s">
        <v>765</v>
      </c>
      <c r="C103" s="86">
        <f>C62+C80+C90+C102</f>
        <v>5505326.0200000005</v>
      </c>
      <c r="D103" s="86">
        <f>D62+D80+D90+D102</f>
        <v>137742.07</v>
      </c>
      <c r="E103" s="86">
        <f>E62+E80+E90+E102</f>
        <v>309304.82999999996</v>
      </c>
      <c r="F103" s="86">
        <f>F62+F80+F90+F102</f>
        <v>0</v>
      </c>
      <c r="G103" s="86">
        <f>G62+G80+G102</f>
        <v>20102.400000000001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2408864.39</v>
      </c>
      <c r="D108" s="24" t="s">
        <v>289</v>
      </c>
      <c r="E108" s="95">
        <f>('DOE25'!L275)+('DOE25'!L294)+('DOE25'!L313)</f>
        <v>2515.62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842757.79</v>
      </c>
      <c r="D109" s="24" t="s">
        <v>289</v>
      </c>
      <c r="E109" s="95">
        <f>('DOE25'!L276)+('DOE25'!L295)+('DOE25'!L314)</f>
        <v>248356.81999999998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210189.91999999998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104454.65000000001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7271.91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3566266.75</v>
      </c>
      <c r="D114" s="86">
        <f>SUM(D108:D113)</f>
        <v>0</v>
      </c>
      <c r="E114" s="86">
        <f>SUM(E108:E113)</f>
        <v>258144.34999999998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336531.63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84642.18</v>
      </c>
      <c r="D118" s="24" t="s">
        <v>289</v>
      </c>
      <c r="E118" s="95">
        <f>+('DOE25'!L281)+('DOE25'!L300)+('DOE25'!L319)</f>
        <v>36446.32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255789.65</v>
      </c>
      <c r="D119" s="24" t="s">
        <v>289</v>
      </c>
      <c r="E119" s="95">
        <f>+('DOE25'!L282)+('DOE25'!L301)+('DOE25'!L320)</f>
        <v>15134.16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272035.97000000003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390686.37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196897.39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56591.73000000001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142848.35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1593174.92</v>
      </c>
      <c r="D127" s="86">
        <f>SUM(D117:D126)</f>
        <v>142848.35</v>
      </c>
      <c r="E127" s="86">
        <f>SUM(E117:E126)</f>
        <v>51580.479999999996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290377.3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103046.59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19596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20102.400000000001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-102.40000000000146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413423.89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19596</v>
      </c>
    </row>
    <row r="144" spans="1:7" ht="12.75" thickTop="1" thickBot="1">
      <c r="A144" s="33" t="s">
        <v>244</v>
      </c>
      <c r="C144" s="86">
        <f>(C114+C127+C143)</f>
        <v>5572865.5599999996</v>
      </c>
      <c r="D144" s="86">
        <f>(D114+D127+D143)</f>
        <v>142848.35</v>
      </c>
      <c r="E144" s="86">
        <f>(E114+E127+E143)</f>
        <v>309724.82999999996</v>
      </c>
      <c r="F144" s="86">
        <f>(F114+F127+F143)</f>
        <v>0</v>
      </c>
      <c r="G144" s="86">
        <f>(G114+G127+G143)</f>
        <v>19596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5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2//1993</v>
      </c>
      <c r="C151" s="152" t="str">
        <f>'DOE25'!G490</f>
        <v>7//2002</v>
      </c>
      <c r="D151" s="152" t="str">
        <f>'DOE25'!H490</f>
        <v>9//2008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2//2013</v>
      </c>
      <c r="C152" s="152" t="str">
        <f>'DOE25'!G491</f>
        <v>8//2012</v>
      </c>
      <c r="D152" s="152" t="str">
        <f>'DOE25'!H491</f>
        <v>9//2013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979939.45</v>
      </c>
      <c r="C153" s="137">
        <f>'DOE25'!G492</f>
        <v>1995190</v>
      </c>
      <c r="D153" s="137">
        <f>'DOE25'!H492</f>
        <v>197233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8.5</v>
      </c>
      <c r="C154" s="137">
        <f>'DOE25'!G493</f>
        <v>3.8</v>
      </c>
      <c r="D154" s="137">
        <f>'DOE25'!H493</f>
        <v>3.88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40198.199999999997</v>
      </c>
      <c r="C155" s="137">
        <f>'DOE25'!G494</f>
        <v>475000</v>
      </c>
      <c r="D155" s="137">
        <f>'DOE25'!H494</f>
        <v>118339</v>
      </c>
      <c r="E155" s="137">
        <f>'DOE25'!I494</f>
        <v>0</v>
      </c>
      <c r="F155" s="137">
        <f>'DOE25'!J494</f>
        <v>0</v>
      </c>
      <c r="G155" s="138">
        <f>SUM(B155:F155)</f>
        <v>633537.19999999995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20930.7</v>
      </c>
      <c r="C157" s="137">
        <f>'DOE25'!G496</f>
        <v>230000</v>
      </c>
      <c r="D157" s="137">
        <f>'DOE25'!H496</f>
        <v>39446.6</v>
      </c>
      <c r="E157" s="137">
        <f>'DOE25'!I496</f>
        <v>0</v>
      </c>
      <c r="F157" s="137">
        <f>'DOE25'!J496</f>
        <v>0</v>
      </c>
      <c r="G157" s="138">
        <f t="shared" si="0"/>
        <v>290377.3</v>
      </c>
    </row>
    <row r="158" spans="1:9">
      <c r="A158" s="22" t="s">
        <v>35</v>
      </c>
      <c r="B158" s="137">
        <f>'DOE25'!F497</f>
        <v>19267.5</v>
      </c>
      <c r="C158" s="137">
        <f>'DOE25'!G497</f>
        <v>245000</v>
      </c>
      <c r="D158" s="137">
        <f>'DOE25'!H497</f>
        <v>78892.399999999994</v>
      </c>
      <c r="E158" s="137">
        <f>'DOE25'!I497</f>
        <v>0</v>
      </c>
      <c r="F158" s="137">
        <f>'DOE25'!J497</f>
        <v>0</v>
      </c>
      <c r="G158" s="138">
        <f t="shared" si="0"/>
        <v>343159.9</v>
      </c>
    </row>
    <row r="159" spans="1:9">
      <c r="A159" s="22" t="s">
        <v>36</v>
      </c>
      <c r="B159" s="137">
        <f>'DOE25'!F498</f>
        <v>85732.5</v>
      </c>
      <c r="C159" s="137">
        <f>'DOE25'!G498</f>
        <v>4900</v>
      </c>
      <c r="D159" s="137">
        <f>'DOE25'!H498</f>
        <v>4594.05</v>
      </c>
      <c r="E159" s="137">
        <f>'DOE25'!I498</f>
        <v>0</v>
      </c>
      <c r="F159" s="137">
        <f>'DOE25'!J498</f>
        <v>0</v>
      </c>
      <c r="G159" s="138">
        <f t="shared" si="0"/>
        <v>95226.55</v>
      </c>
    </row>
    <row r="160" spans="1:9">
      <c r="A160" s="22" t="s">
        <v>37</v>
      </c>
      <c r="B160" s="137">
        <f>'DOE25'!F499</f>
        <v>105000</v>
      </c>
      <c r="C160" s="137">
        <f>'DOE25'!G499</f>
        <v>249900</v>
      </c>
      <c r="D160" s="137">
        <f>'DOE25'!H499</f>
        <v>83486.45</v>
      </c>
      <c r="E160" s="137">
        <f>'DOE25'!I499</f>
        <v>0</v>
      </c>
      <c r="F160" s="137">
        <f>'DOE25'!J499</f>
        <v>0</v>
      </c>
      <c r="G160" s="138">
        <f t="shared" si="0"/>
        <v>438386.45</v>
      </c>
    </row>
    <row r="161" spans="1:7">
      <c r="A161" s="22" t="s">
        <v>38</v>
      </c>
      <c r="B161" s="137">
        <f>'DOE25'!F500</f>
        <v>19267.5</v>
      </c>
      <c r="C161" s="137">
        <f>'DOE25'!G500</f>
        <v>245000</v>
      </c>
      <c r="D161" s="137">
        <f>'DOE25'!H500</f>
        <v>39446.6</v>
      </c>
      <c r="E161" s="137">
        <f>'DOE25'!I500</f>
        <v>0</v>
      </c>
      <c r="F161" s="137">
        <f>'DOE25'!J500</f>
        <v>0</v>
      </c>
      <c r="G161" s="138">
        <f t="shared" si="0"/>
        <v>303714.09999999998</v>
      </c>
    </row>
    <row r="162" spans="1:7">
      <c r="A162" s="22" t="s">
        <v>39</v>
      </c>
      <c r="B162" s="137">
        <f>'DOE25'!F501</f>
        <v>85732.5</v>
      </c>
      <c r="C162" s="137">
        <f>'DOE25'!G501</f>
        <v>4900</v>
      </c>
      <c r="D162" s="137">
        <f>'DOE25'!H501</f>
        <v>3065.49</v>
      </c>
      <c r="E162" s="137">
        <f>'DOE25'!I501</f>
        <v>0</v>
      </c>
      <c r="F162" s="137">
        <f>'DOE25'!J501</f>
        <v>0</v>
      </c>
      <c r="G162" s="138">
        <f t="shared" si="0"/>
        <v>93697.99</v>
      </c>
    </row>
    <row r="163" spans="1:7">
      <c r="A163" s="22" t="s">
        <v>246</v>
      </c>
      <c r="B163" s="137">
        <f>'DOE25'!F502</f>
        <v>105000</v>
      </c>
      <c r="C163" s="137">
        <f>'DOE25'!G502</f>
        <v>249900</v>
      </c>
      <c r="D163" s="137">
        <f>'DOE25'!H502</f>
        <v>42512.09</v>
      </c>
      <c r="E163" s="137">
        <f>'DOE25'!I502</f>
        <v>0</v>
      </c>
      <c r="F163" s="137">
        <f>'DOE25'!J502</f>
        <v>0</v>
      </c>
      <c r="G163" s="138">
        <f t="shared" si="0"/>
        <v>397412.08999999997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LISBON REGIONAL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14190</v>
      </c>
    </row>
    <row r="5" spans="1:4">
      <c r="B5" t="s">
        <v>704</v>
      </c>
      <c r="C5" s="179">
        <f>IF('DOE25'!G664+'DOE25'!G669=0,0,ROUND('DOE25'!G671,0))</f>
        <v>12642</v>
      </c>
    </row>
    <row r="6" spans="1:4">
      <c r="B6" t="s">
        <v>62</v>
      </c>
      <c r="C6" s="179">
        <f>IF('DOE25'!H664+'DOE25'!H669=0,0,ROUND('DOE25'!H671,0))</f>
        <v>12760</v>
      </c>
    </row>
    <row r="7" spans="1:4">
      <c r="B7" t="s">
        <v>705</v>
      </c>
      <c r="C7" s="179">
        <f>IF('DOE25'!I664+'DOE25'!I669=0,0,ROUND('DOE25'!I671,0))</f>
        <v>13266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2411380</v>
      </c>
      <c r="D10" s="182">
        <f>ROUND((C10/$C$28)*100,1)</f>
        <v>42.5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1091115</v>
      </c>
      <c r="D11" s="182">
        <f>ROUND((C11/$C$28)*100,1)</f>
        <v>19.2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210190</v>
      </c>
      <c r="D12" s="182">
        <f>ROUND((C12/$C$28)*100,1)</f>
        <v>3.7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104455</v>
      </c>
      <c r="D13" s="182">
        <f>ROUND((C13/$C$28)*100,1)</f>
        <v>1.8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336532</v>
      </c>
      <c r="D15" s="182">
        <f t="shared" ref="D15:D27" si="0">ROUND((C15/$C$28)*100,1)</f>
        <v>5.9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121089</v>
      </c>
      <c r="D16" s="182">
        <f t="shared" si="0"/>
        <v>2.1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327516</v>
      </c>
      <c r="D17" s="182">
        <f t="shared" si="0"/>
        <v>5.8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272036</v>
      </c>
      <c r="D18" s="182">
        <f t="shared" si="0"/>
        <v>4.8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390686</v>
      </c>
      <c r="D20" s="182">
        <f t="shared" si="0"/>
        <v>6.9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196897</v>
      </c>
      <c r="D21" s="182">
        <f t="shared" si="0"/>
        <v>3.5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7272</v>
      </c>
      <c r="D24" s="182">
        <f t="shared" si="0"/>
        <v>0.1</v>
      </c>
    </row>
    <row r="25" spans="1:4">
      <c r="A25">
        <v>5120</v>
      </c>
      <c r="B25" t="s">
        <v>720</v>
      </c>
      <c r="C25" s="179">
        <f>ROUND('DOE25'!L260+'DOE25'!L341,0)</f>
        <v>103047</v>
      </c>
      <c r="D25" s="182">
        <f t="shared" si="0"/>
        <v>1.8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101144.47</v>
      </c>
      <c r="D27" s="182">
        <f t="shared" si="0"/>
        <v>1.8</v>
      </c>
    </row>
    <row r="28" spans="1:4">
      <c r="B28" s="187" t="s">
        <v>723</v>
      </c>
      <c r="C28" s="180">
        <f>SUM(C10:C27)</f>
        <v>5673359.4699999997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5673359.4699999997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290377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2072019</v>
      </c>
      <c r="D35" s="182">
        <f t="shared" ref="D35:D40" si="1">ROUND((C35/$C$41)*100,1)</f>
        <v>35.200000000000003</v>
      </c>
    </row>
    <row r="36" spans="1:4">
      <c r="B36" s="185" t="s">
        <v>743</v>
      </c>
      <c r="C36" s="179">
        <f>SUM('DOE25'!F111:J111)-SUM('DOE25'!G96:G109)+('DOE25'!F173+'DOE25'!F174+'DOE25'!I173+'DOE25'!I174)-C35</f>
        <v>693164.43000000017</v>
      </c>
      <c r="D36" s="182">
        <f t="shared" si="1"/>
        <v>11.8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2417603</v>
      </c>
      <c r="D37" s="182">
        <f t="shared" si="1"/>
        <v>41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236365</v>
      </c>
      <c r="D38" s="182">
        <f t="shared" si="1"/>
        <v>4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472024</v>
      </c>
      <c r="D39" s="182">
        <f t="shared" si="1"/>
        <v>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5891175.4299999997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LISBON REGIONAL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2012-08-24T12:24:41Z</cp:lastPrinted>
  <dcterms:created xsi:type="dcterms:W3CDTF">1997-12-04T19:04:30Z</dcterms:created>
  <dcterms:modified xsi:type="dcterms:W3CDTF">2012-11-21T14:57:13Z</dcterms:modified>
</cp:coreProperties>
</file>