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C119" i="2" s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C12" i="10" s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F661" i="1" s="1"/>
  <c r="L225" i="1"/>
  <c r="L243" i="1"/>
  <c r="H661" i="1" s="1"/>
  <c r="F17" i="13"/>
  <c r="G17" i="13"/>
  <c r="L250" i="1"/>
  <c r="C113" i="2" s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130" i="2" s="1"/>
  <c r="L260" i="1"/>
  <c r="C25" i="10" s="1"/>
  <c r="L340" i="1"/>
  <c r="L341" i="1"/>
  <c r="L254" i="1"/>
  <c r="C129" i="2" s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3" i="10"/>
  <c r="C20" i="10"/>
  <c r="L249" i="1"/>
  <c r="L331" i="1"/>
  <c r="L253" i="1"/>
  <c r="C24" i="10" s="1"/>
  <c r="L267" i="1"/>
  <c r="L268" i="1"/>
  <c r="L348" i="1"/>
  <c r="L349" i="1"/>
  <c r="I664" i="1"/>
  <c r="I669" i="1"/>
  <c r="G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C31" i="2" s="1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D31" i="2" s="1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C90" i="2" s="1"/>
  <c r="D87" i="2"/>
  <c r="D90" i="2" s="1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9" i="2"/>
  <c r="E110" i="2"/>
  <c r="C111" i="2"/>
  <c r="E111" i="2"/>
  <c r="C112" i="2"/>
  <c r="E112" i="2"/>
  <c r="E113" i="2"/>
  <c r="D114" i="2"/>
  <c r="F114" i="2"/>
  <c r="G114" i="2"/>
  <c r="E117" i="2"/>
  <c r="E118" i="2"/>
  <c r="E119" i="2"/>
  <c r="E120" i="2"/>
  <c r="E121" i="2"/>
  <c r="E122" i="2"/>
  <c r="E123" i="2"/>
  <c r="E124" i="2"/>
  <c r="F127" i="2"/>
  <c r="G127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G155" i="2" s="1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G161" i="2" s="1"/>
  <c r="C161" i="2"/>
  <c r="D161" i="2"/>
  <c r="E161" i="2"/>
  <c r="F161" i="2"/>
  <c r="B162" i="2"/>
  <c r="C162" i="2"/>
  <c r="D162" i="2"/>
  <c r="E162" i="2"/>
  <c r="F162" i="2"/>
  <c r="F502" i="1"/>
  <c r="B163" i="2" s="1"/>
  <c r="G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H643" i="1" s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G639" i="1" s="1"/>
  <c r="H445" i="1"/>
  <c r="I445" i="1"/>
  <c r="G641" i="1" s="1"/>
  <c r="F451" i="1"/>
  <c r="G451" i="1"/>
  <c r="H451" i="1"/>
  <c r="I451" i="1"/>
  <c r="F459" i="1"/>
  <c r="G459" i="1"/>
  <c r="H459" i="1"/>
  <c r="I459" i="1"/>
  <c r="F460" i="1"/>
  <c r="G460" i="1"/>
  <c r="H639" i="1" s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38" i="1"/>
  <c r="H638" i="1"/>
  <c r="G640" i="1"/>
  <c r="H640" i="1"/>
  <c r="H641" i="1"/>
  <c r="G642" i="1"/>
  <c r="H642" i="1"/>
  <c r="G643" i="1"/>
  <c r="G644" i="1"/>
  <c r="H644" i="1"/>
  <c r="G649" i="1"/>
  <c r="G651" i="1"/>
  <c r="H651" i="1"/>
  <c r="J651" i="1"/>
  <c r="G652" i="1"/>
  <c r="H652" i="1"/>
  <c r="J652" i="1" s="1"/>
  <c r="G653" i="1"/>
  <c r="H653" i="1"/>
  <c r="J653" i="1" s="1"/>
  <c r="H654" i="1"/>
  <c r="F191" i="1"/>
  <c r="G159" i="2"/>
  <c r="F31" i="2"/>
  <c r="C26" i="10"/>
  <c r="L350" i="1"/>
  <c r="A31" i="12"/>
  <c r="C69" i="2"/>
  <c r="A40" i="12"/>
  <c r="G8" i="2"/>
  <c r="E49" i="2"/>
  <c r="D18" i="13"/>
  <c r="C18" i="13" s="1"/>
  <c r="F102" i="2"/>
  <c r="E18" i="2"/>
  <c r="G158" i="2"/>
  <c r="G80" i="2"/>
  <c r="F77" i="2"/>
  <c r="F80" i="2" s="1"/>
  <c r="F61" i="2"/>
  <c r="F62" i="2" s="1"/>
  <c r="D49" i="2"/>
  <c r="G156" i="2"/>
  <c r="F49" i="2"/>
  <c r="F50" i="2" s="1"/>
  <c r="F18" i="2"/>
  <c r="G162" i="2"/>
  <c r="G160" i="2"/>
  <c r="G157" i="2"/>
  <c r="E143" i="2"/>
  <c r="G102" i="2"/>
  <c r="E102" i="2"/>
  <c r="C102" i="2"/>
  <c r="F90" i="2"/>
  <c r="E61" i="2"/>
  <c r="E62" i="2" s="1"/>
  <c r="C61" i="2"/>
  <c r="E31" i="2"/>
  <c r="G61" i="2"/>
  <c r="D19" i="13"/>
  <c r="C19" i="13" s="1"/>
  <c r="L538" i="1" l="1"/>
  <c r="L613" i="1"/>
  <c r="G570" i="1"/>
  <c r="I662" i="1"/>
  <c r="L543" i="1"/>
  <c r="L533" i="1"/>
  <c r="L528" i="1"/>
  <c r="F544" i="1"/>
  <c r="L523" i="1"/>
  <c r="I368" i="1"/>
  <c r="H633" i="1" s="1"/>
  <c r="F660" i="1"/>
  <c r="D29" i="13"/>
  <c r="C29" i="13" s="1"/>
  <c r="H660" i="1"/>
  <c r="D126" i="2"/>
  <c r="D127" i="2" s="1"/>
  <c r="D144" i="2" s="1"/>
  <c r="G660" i="1"/>
  <c r="L361" i="1"/>
  <c r="L327" i="1"/>
  <c r="G31" i="13"/>
  <c r="E109" i="2"/>
  <c r="I337" i="1"/>
  <c r="I351" i="1" s="1"/>
  <c r="E108" i="2"/>
  <c r="K337" i="1"/>
  <c r="K351" i="1" s="1"/>
  <c r="J337" i="1"/>
  <c r="J351" i="1" s="1"/>
  <c r="A22" i="12"/>
  <c r="F31" i="13"/>
  <c r="L289" i="1"/>
  <c r="C19" i="10"/>
  <c r="D17" i="13"/>
  <c r="C17" i="13" s="1"/>
  <c r="L255" i="1"/>
  <c r="C124" i="2"/>
  <c r="G650" i="1"/>
  <c r="C122" i="2"/>
  <c r="C121" i="2"/>
  <c r="E8" i="13"/>
  <c r="C8" i="13" s="1"/>
  <c r="C16" i="10"/>
  <c r="C110" i="2"/>
  <c r="L246" i="1"/>
  <c r="I661" i="1"/>
  <c r="D14" i="13"/>
  <c r="C14" i="13" s="1"/>
  <c r="C120" i="2"/>
  <c r="C17" i="10"/>
  <c r="D7" i="13"/>
  <c r="C7" i="13" s="1"/>
  <c r="C118" i="2"/>
  <c r="C15" i="10"/>
  <c r="K256" i="1"/>
  <c r="K270" i="1" s="1"/>
  <c r="L228" i="1"/>
  <c r="G256" i="1"/>
  <c r="G270" i="1" s="1"/>
  <c r="F256" i="1"/>
  <c r="F270" i="1" s="1"/>
  <c r="C11" i="10"/>
  <c r="I256" i="1"/>
  <c r="I270" i="1" s="1"/>
  <c r="C10" i="10"/>
  <c r="C21" i="10"/>
  <c r="C123" i="2"/>
  <c r="H646" i="1"/>
  <c r="D15" i="13"/>
  <c r="C15" i="13" s="1"/>
  <c r="G648" i="1"/>
  <c r="J648" i="1" s="1"/>
  <c r="E13" i="13"/>
  <c r="C13" i="13" s="1"/>
  <c r="G33" i="13"/>
  <c r="D12" i="13"/>
  <c r="C12" i="13" s="1"/>
  <c r="C18" i="10"/>
  <c r="D6" i="13"/>
  <c r="C6" i="13" s="1"/>
  <c r="C117" i="2"/>
  <c r="C108" i="2"/>
  <c r="C114" i="2" s="1"/>
  <c r="L210" i="1"/>
  <c r="K502" i="1"/>
  <c r="J641" i="1"/>
  <c r="E90" i="2"/>
  <c r="D61" i="2"/>
  <c r="D62" i="2" s="1"/>
  <c r="D50" i="2"/>
  <c r="D18" i="2"/>
  <c r="C77" i="2"/>
  <c r="C80" i="2" s="1"/>
  <c r="F139" i="1"/>
  <c r="C62" i="2"/>
  <c r="F51" i="1"/>
  <c r="H616" i="1" s="1"/>
  <c r="J616" i="1"/>
  <c r="C18" i="2"/>
  <c r="E77" i="2"/>
  <c r="E80" i="2" s="1"/>
  <c r="F103" i="2"/>
  <c r="L426" i="1"/>
  <c r="J256" i="1"/>
  <c r="H111" i="1"/>
  <c r="F111" i="1"/>
  <c r="J640" i="1"/>
  <c r="J638" i="1"/>
  <c r="K604" i="1"/>
  <c r="G647" i="1" s="1"/>
  <c r="J570" i="1"/>
  <c r="K570" i="1"/>
  <c r="L432" i="1"/>
  <c r="L418" i="1"/>
  <c r="D80" i="2"/>
  <c r="D103" i="2" s="1"/>
  <c r="I168" i="1"/>
  <c r="H168" i="1"/>
  <c r="C39" i="10" s="1"/>
  <c r="G551" i="1"/>
  <c r="L433" i="1"/>
  <c r="G637" i="1" s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C23" i="10"/>
  <c r="F168" i="1"/>
  <c r="J139" i="1"/>
  <c r="J637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K544" i="1"/>
  <c r="I192" i="1"/>
  <c r="G629" i="1" s="1"/>
  <c r="J629" i="1" s="1"/>
  <c r="J617" i="1"/>
  <c r="J551" i="1"/>
  <c r="H551" i="1"/>
  <c r="C29" i="10"/>
  <c r="H139" i="1"/>
  <c r="L400" i="1"/>
  <c r="C138" i="2" s="1"/>
  <c r="L392" i="1"/>
  <c r="A13" i="12"/>
  <c r="F22" i="13"/>
  <c r="H25" i="13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F551" i="1"/>
  <c r="C35" i="10"/>
  <c r="L308" i="1"/>
  <c r="D5" i="13"/>
  <c r="E16" i="13"/>
  <c r="J624" i="1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L564" i="1"/>
  <c r="L570" i="1" s="1"/>
  <c r="G544" i="1"/>
  <c r="H544" i="1"/>
  <c r="K550" i="1"/>
  <c r="F143" i="2"/>
  <c r="F144" i="2" s="1"/>
  <c r="L544" i="1" l="1"/>
  <c r="K551" i="1"/>
  <c r="I660" i="1"/>
  <c r="C27" i="10"/>
  <c r="C28" i="10" s="1"/>
  <c r="D24" i="10" s="1"/>
  <c r="G634" i="1"/>
  <c r="J634" i="1" s="1"/>
  <c r="H659" i="1"/>
  <c r="H663" i="1" s="1"/>
  <c r="H666" i="1" s="1"/>
  <c r="E114" i="2"/>
  <c r="E144" i="2" s="1"/>
  <c r="H647" i="1"/>
  <c r="J647" i="1" s="1"/>
  <c r="F659" i="1"/>
  <c r="F663" i="1" s="1"/>
  <c r="F671" i="1" s="1"/>
  <c r="C4" i="10" s="1"/>
  <c r="C127" i="2"/>
  <c r="J646" i="1"/>
  <c r="J270" i="1"/>
  <c r="L256" i="1"/>
  <c r="L270" i="1" s="1"/>
  <c r="G631" i="1" s="1"/>
  <c r="J631" i="1" s="1"/>
  <c r="H192" i="1"/>
  <c r="G628" i="1" s="1"/>
  <c r="J628" i="1" s="1"/>
  <c r="C103" i="2"/>
  <c r="C36" i="10"/>
  <c r="C38" i="10"/>
  <c r="F192" i="1"/>
  <c r="G626" i="1" s="1"/>
  <c r="J626" i="1" s="1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H671" i="1" l="1"/>
  <c r="C6" i="10" s="1"/>
  <c r="F666" i="1"/>
  <c r="C144" i="2"/>
  <c r="C30" i="10"/>
  <c r="D22" i="10"/>
  <c r="D12" i="10"/>
  <c r="D16" i="10"/>
  <c r="D10" i="10"/>
  <c r="D19" i="10"/>
  <c r="D21" i="10"/>
  <c r="D26" i="10"/>
  <c r="D13" i="10"/>
  <c r="D25" i="10"/>
  <c r="D20" i="10"/>
  <c r="D18" i="10"/>
  <c r="D27" i="10"/>
  <c r="D23" i="10"/>
  <c r="D15" i="10"/>
  <c r="D17" i="10"/>
  <c r="D11" i="10"/>
  <c r="C41" i="10"/>
  <c r="D39" i="10" s="1"/>
  <c r="G636" i="1"/>
  <c r="J636" i="1" s="1"/>
  <c r="H645" i="1"/>
  <c r="J645" i="1" s="1"/>
  <c r="D33" i="13"/>
  <c r="D36" i="13" s="1"/>
  <c r="G663" i="1"/>
  <c r="I659" i="1"/>
  <c r="I663" i="1" s="1"/>
  <c r="J625" i="1"/>
  <c r="H655" i="1"/>
  <c r="D28" i="10" l="1"/>
  <c r="D36" i="10"/>
  <c r="D38" i="10"/>
  <c r="D40" i="10"/>
  <c r="D35" i="10"/>
  <c r="D37" i="10"/>
  <c r="I666" i="1"/>
  <c r="I671" i="1"/>
  <c r="C7" i="10" s="1"/>
  <c r="G671" i="1"/>
  <c r="C5" i="10" s="1"/>
  <c r="G66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<sst xmlns="http://schemas.openxmlformats.org/spreadsheetml/2006/main" count="3945" uniqueCount="912">
  <si>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</si>
  <si>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</si>
  <si>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</si>
  <si>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</si>
  <si>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</si>
  <si>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</si>
  <si>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</si>
  <si>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</si>
  <si>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</si>
  <si>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</si>
  <si>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</si>
  <si>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</si>
  <si>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</si>
  <si>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</si>
  <si>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</si>
  <si>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</si>
  <si>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</si>
  <si>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</si>
  <si>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</si>
  <si>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</si>
  <si>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</si>
  <si>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</si>
  <si>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</si>
  <si>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</si>
  <si>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</si>
  <si>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</si>
  <si>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</si>
  <si>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</si>
  <si>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</si>
  <si>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</si>
  <si>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</si>
  <si>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</si>
  <si>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</si>
  <si>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</si>
  <si>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</si>
  <si>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</si>
  <si>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</si>
  <si>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</si>
  <si>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</si>
  <si>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</si>
  <si>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</si>
  <si>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</si>
  <si>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</si>
  <si>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</si>
  <si>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</si>
  <si>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</si>
  <si>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</si>
  <si>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</si>
  <si>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</si>
  <si>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</si>
  <si>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</si>
  <si>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</si>
  <si>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</si>
  <si>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</si>
  <si>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</si>
  <si>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</si>
  <si>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</si>
  <si>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</si>
  <si>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</si>
  <si>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</si>
  <si>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</si>
  <si>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</si>
  <si>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</si>
  <si>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</si>
  <si>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</si>
  <si>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</si>
  <si>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</si>
  <si>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</si>
  <si>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</si>
  <si>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</si>
  <si>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</si>
  <si>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</si>
  <si>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</si>
  <si>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</si>
  <si>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</si>
  <si>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</si>
  <si>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</si>
  <si>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</si>
  <si>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</si>
  <si>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</si>
  <si>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</si>
  <si>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</si>
  <si>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</si>
  <si>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</si>
  <si>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</si>
  <si>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</si>
  <si>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</si>
  <si>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</si>
  <si>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</si>
  <si>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</si>
  <si>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</si>
  <si>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</si>
  <si>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</si>
  <si>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</si>
  <si>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</si>
  <si>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</si>
  <si>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</si>
  <si>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</si>
  <si>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</si>
  <si>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</si>
  <si>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</si>
  <si>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</si>
  <si>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</si>
  <si>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</si>
  <si>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</si>
  <si>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</si>
  <si>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</si>
  <si>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</si>
  <si>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</si>
  <si>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</si>
  <si>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</si>
  <si>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</si>
  <si>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</si>
  <si>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</si>
  <si>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</si>
  <si>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</si>
  <si>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</si>
  <si>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</si>
  <si>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</si>
  <si>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</si>
  <si>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</si>
  <si>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</si>
  <si>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</si>
  <si>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</si>
  <si>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</si>
  <si>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</si>
  <si>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</si>
  <si>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</si>
  <si>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</si>
  <si>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</si>
  <si>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</si>
  <si>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</si>
  <si>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</si>
  <si>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</si>
  <si>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</si>
  <si>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</si>
  <si>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</si>
  <si>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</si>
  <si>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</si>
  <si>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</si>
  <si>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</si>
  <si>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</si>
  <si>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</si>
  <si>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</si>
  <si>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</si>
  <si>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</si>
  <si>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</si>
  <si>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</si>
  <si>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</si>
  <si>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</si>
  <si>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</si>
  <si>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</si>
  <si>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</si>
  <si>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</si>
  <si>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</si>
  <si>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</si>
  <si>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</si>
  <si>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</si>
  <si>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</si>
  <si>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</si>
  <si>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</si>
  <si>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</si>
  <si>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</si>
  <si>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</si>
  <si>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</si>
  <si>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</si>
  <si>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</si>
  <si>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</si>
  <si>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</si>
  <si>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</si>
  <si>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</si>
  <si>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</si>
  <si>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</si>
  <si>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</si>
  <si>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</si>
  <si>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</si>
  <si>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</si>
  <si>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</si>
  <si>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</si>
  <si>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</si>
  <si>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</si>
  <si>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</si>
  <si>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</si>
  <si>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</si>
  <si>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</si>
  <si>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</si>
  <si>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</si>
  <si>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</si>
  <si>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</si>
  <si>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</si>
  <si>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</si>
  <si>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</si>
  <si>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</si>
  <si>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</si>
  <si>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</si>
  <si>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</si>
  <si>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</si>
  <si>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</si>
  <si>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</si>
  <si>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</si>
  <si>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</si>
  <si>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</si>
  <si>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</si>
  <si>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</si>
  <si>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</si>
  <si>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</si>
  <si>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</si>
  <si>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</si>
  <si>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</si>
  <si>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</si>
  <si>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</si>
  <si>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</si>
  <si>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</si>
  <si>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</si>
  <si>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</si>
  <si>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</si>
  <si>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</si>
  <si>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</si>
  <si>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</si>
  <si>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</si>
  <si>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</si>
  <si>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</si>
  <si>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</si>
  <si>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</si>
  <si>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</si>
  <si>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</si>
  <si>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</si>
  <si>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</si>
  <si>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</si>
  <si>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</si>
  <si>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</si>
  <si>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</si>
  <si>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</si>
  <si>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</si>
  <si>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</si>
  <si>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</si>
  <si>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</si>
  <si>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</si>
  <si>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</si>
  <si>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</si>
  <si>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</si>
  <si>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</si>
  <si>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</si>
  <si>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</si>
  <si>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</si>
  <si>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</si>
  <si>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</si>
  <si>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</si>
  <si>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</si>
  <si>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</si>
  <si>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</si>
  <si>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</si>
  <si>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</si>
  <si>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</si>
  <si>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</si>
  <si>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</si>
  <si>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</si>
  <si>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</si>
  <si>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</si>
  <si>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</si>
  <si>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</si>
  <si>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</si>
  <si>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</si>
  <si>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</si>
  <si>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</si>
  <si>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</si>
  <si>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</si>
  <si>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</si>
  <si>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</si>
  <si>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</si>
  <si>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</si>
  <si>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</si>
  <si>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</si>
  <si>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</si>
  <si>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</si>
  <si>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</si>
  <si>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</si>
  <si>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</si>
  <si>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</si>
  <si>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</si>
  <si>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</si>
  <si>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</si>
  <si>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</si>
  <si>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</si>
  <si>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</si>
  <si>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</si>
  <si>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</si>
  <si>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</si>
  <si>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</si>
  <si>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</si>
  <si>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</si>
  <si>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</si>
  <si>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</si>
  <si>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</si>
  <si>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</si>
  <si>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</si>
  <si>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</si>
  <si>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</si>
  <si>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</si>
  <si>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</si>
  <si>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</si>
  <si>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</si>
  <si>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</si>
  <si>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</si>
  <si>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</si>
  <si>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</si>
  <si>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</si>
  <si>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</si>
  <si>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</si>
  <si>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</si>
  <si>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</si>
  <si>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</si>
  <si>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</si>
  <si>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</si>
  <si>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</si>
  <si>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</si>
  <si>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</si>
  <si>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</si>
  <si>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</si>
  <si>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</si>
  <si>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</si>
  <si>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</si>
  <si>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</si>
  <si>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</si>
  <si>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</si>
  <si>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</si>
  <si>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</si>
  <si>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</si>
  <si>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</si>
  <si>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</si>
  <si>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</si>
  <si>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</si>
  <si>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</si>
  <si>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</si>
  <si>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</si>
  <si>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</si>
  <si>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</si>
  <si>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</si>
  <si>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</si>
  <si>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</si>
  <si>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</si>
  <si>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</si>
  <si>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</si>
  <si>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</si>
  <si>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</si>
  <si>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</si>
  <si>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</si>
  <si>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</si>
  <si>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</si>
  <si>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</si>
  <si>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</si>
  <si>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</si>
  <si>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</si>
  <si>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</si>
  <si>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</si>
  <si>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</si>
  <si>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</si>
  <si>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</si>
  <si>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</si>
  <si>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</si>
  <si>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</si>
  <si>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</si>
  <si>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</si>
  <si>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</si>
  <si>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</si>
  <si>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</si>
  <si>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</si>
  <si>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</si>
  <si>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</si>
  <si>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</si>
  <si>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</si>
  <si>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</si>
  <si>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</si>
  <si>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</si>
  <si>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</si>
  <si>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</si>
  <si>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</si>
  <si>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</si>
  <si>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</si>
  <si>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</si>
  <si>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</si>
  <si>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</si>
  <si>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</si>
  <si>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</si>
  <si>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</si>
  <si>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</si>
  <si>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</si>
  <si>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</si>
  <si>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</si>
  <si>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</si>
  <si>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</si>
  <si>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</si>
  <si>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</si>
  <si>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</si>
  <si>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</si>
  <si>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</si>
  <si>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</si>
  <si>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</si>
  <si>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</si>
  <si>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</si>
  <si>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</si>
  <si>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</si>
  <si>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</si>
  <si>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</si>
  <si>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</si>
  <si>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</si>
  <si>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</si>
  <si>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</si>
  <si>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</si>
  <si>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</si>
  <si>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</si>
  <si>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</si>
  <si>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</si>
  <si>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</si>
  <si>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</si>
  <si>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</si>
  <si>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</si>
  <si>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</si>
  <si>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</si>
  <si>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</si>
  <si>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</si>
  <si>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</si>
  <si>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</si>
  <si>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</si>
  <si>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</si>
  <si>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</si>
  <si>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</si>
  <si>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</si>
  <si>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</si>
  <si>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</si>
  <si>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</si>
  <si>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</si>
  <si>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</si>
  <si>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</si>
  <si>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</si>
  <si>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</si>
  <si>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</si>
  <si>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</si>
  <si>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</si>
  <si>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</si>
  <si>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</si>
  <si>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</si>
  <si>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</si>
  <si>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</si>
  <si>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</si>
  <si>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</si>
  <si>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</si>
  <si>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</si>
  <si>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</si>
  <si>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</si>
  <si>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</si>
  <si>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</si>
  <si>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</si>
  <si>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</si>
  <si>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</si>
  <si>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</si>
  <si>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</si>
  <si>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</si>
  <si>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</si>
  <si>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</si>
  <si>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</si>
  <si>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</si>
  <si>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</si>
  <si>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</si>
  <si>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</si>
  <si>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</si>
  <si>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</si>
  <si>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</si>
  <si>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</si>
  <si>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</si>
  <si>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</si>
  <si>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</si>
  <si>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</si>
  <si>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</si>
  <si>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</si>
  <si>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</si>
  <si>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</si>
  <si>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</si>
  <si>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</si>
  <si>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</si>
  <si>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</si>
  <si>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</si>
  <si>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</si>
  <si>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</si>
  <si>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</si>
  <si>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</si>
  <si>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</si>
  <si>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</si>
  <si>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</si>
  <si>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</si>
  <si>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</si>
  <si>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</si>
  <si>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</si>
  <si>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</si>
  <si>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</si>
  <si>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</si>
  <si>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</si>
  <si>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</si>
  <si>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</si>
  <si>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</si>
  <si>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</si>
  <si>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</si>
  <si>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</si>
  <si>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</si>
  <si>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</si>
  <si>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</si>
  <si>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</si>
  <si>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</si>
  <si>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</si>
  <si>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</si>
  <si>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</si>
  <si>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</si>
  <si>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</si>
  <si>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</si>
  <si>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</si>
  <si>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</si>
  <si>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</si>
  <si>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</si>
  <si>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</si>
  <si>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</si>
  <si>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</si>
  <si>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</si>
  <si>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</si>
  <si>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</si>
  <si>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</si>
  <si>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</si>
  <si>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</si>
  <si>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</si>
  <si>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</si>
  <si>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</si>
  <si>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</si>
  <si>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</si>
  <si>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</si>
  <si>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</si>
  <si>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</si>
  <si>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</si>
  <si>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</si>
  <si>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</si>
  <si>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</si>
  <si>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</si>
  <si>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</si>
  <si>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</si>
  <si>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</si>
  <si>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</si>
  <si>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</si>
  <si>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</si>
  <si>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</si>
  <si>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</si>
  <si>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</si>
  <si>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</si>
  <si>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</si>
  <si>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</si>
  <si>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</si>
  <si>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</si>
  <si>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</si>
  <si>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</si>
  <si>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</si>
  <si>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</si>
  <si>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</si>
  <si>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</si>
  <si>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</si>
  <si>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</si>
  <si>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</si>
  <si>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</si>
  <si>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</si>
  <si>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</si>
  <si>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</si>
  <si>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</si>
  <si>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</si>
  <si>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</si>
  <si>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</si>
  <si>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</si>
  <si>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</si>
  <si>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</si>
  <si>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</si>
  <si>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</si>
  <si>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</si>
  <si>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</si>
  <si>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</si>
  <si>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</si>
  <si>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</si>
  <si>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</si>
  <si>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</si>
  <si>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</si>
  <si>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</si>
  <si>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</si>
  <si>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</si>
  <si>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</si>
  <si>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</si>
  <si>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</si>
  <si>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</si>
  <si>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</si>
  <si>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</si>
  <si>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</si>
  <si>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</si>
  <si>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</si>
  <si>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</si>
  <si>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</si>
  <si>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</si>
  <si>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</si>
  <si>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</si>
  <si>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</si>
  <si>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</si>
  <si>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</si>
  <si>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</si>
  <si>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</si>
  <si>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</si>
  <si>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</si>
  <si>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</si>
  <si>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</si>
  <si>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</si>
  <si>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</si>
  <si>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</si>
  <si>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</si>
  <si>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</si>
  <si>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</si>
  <si>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</si>
  <si>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</si>
  <si>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</si>
  <si>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</si>
  <si>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</si>
  <si>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</si>
  <si>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</si>
  <si>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</si>
  <si>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</si>
  <si>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</si>
  <si>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</si>
  <si>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</si>
  <si>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</si>
  <si>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</si>
  <si>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</si>
  <si>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</si>
  <si>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</si>
  <si>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</si>
  <si>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</si>
  <si>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</si>
  <si>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</si>
  <si>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</si>
  <si>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</si>
  <si>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</si>
  <si>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</si>
  <si>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</si>
  <si>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</si>
  <si>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</si>
  <si>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</si>
  <si>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</si>
  <si>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</si>
  <si>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</si>
  <si>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</si>
  <si>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</si>
  <si>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</si>
  <si>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</si>
  <si>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</si>
  <si>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</si>
  <si>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</si>
  <si>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</si>
  <si>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</si>
  <si>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</si>
  <si>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</si>
  <si>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</si>
  <si>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</si>
  <si>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</si>
  <si>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</si>
  <si>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</si>
  <si>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</si>
  <si>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</si>
  <si>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</si>
  <si>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</si>
  <si>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</si>
  <si>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</si>
  <si>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</si>
  <si>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</si>
  <si>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</si>
  <si>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</si>
  <si>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</si>
  <si>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</si>
  <si>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</si>
  <si>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</si>
  <si>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</si>
  <si>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</si>
  <si>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</si>
  <si>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</si>
  <si>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</si>
  <si>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</si>
  <si>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</si>
  <si>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</si>
  <si>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</si>
  <si>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</si>
  <si>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</si>
  <si>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</si>
  <si>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</si>
  <si>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</si>
  <si>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</si>
  <si>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</si>
  <si>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</si>
  <si>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</si>
  <si>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</si>
  <si>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</si>
  <si>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</si>
  <si>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</si>
  <si>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</si>
  <si>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</si>
  <si>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</si>
  <si>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</si>
  <si>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</si>
  <si>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</si>
  <si>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</si>
  <si>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</si>
  <si>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</si>
  <si>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</si>
  <si>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</si>
  <si>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</si>
  <si>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</si>
  <si>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</si>
  <si>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</si>
  <si>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</si>
  <si>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</si>
  <si>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</si>
  <si>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</si>
  <si>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</si>
  <si>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</si>
  <si>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</si>
  <si>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</si>
  <si>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</si>
  <si>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</si>
  <si>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</si>
  <si>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</si>
  <si>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</si>
  <si>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</si>
  <si>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</si>
  <si>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</si>
  <si>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</si>
  <si>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</si>
  <si>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</si>
  <si>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</si>
  <si>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</si>
  <si>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</si>
  <si>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</si>
  <si>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</si>
  <si>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</si>
  <si>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</si>
  <si>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</si>
  <si>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</si>
  <si>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</si>
  <si>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</si>
  <si>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</si>
  <si>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</si>
  <si>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</si>
  <si>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</si>
  <si>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</si>
  <si>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</si>
  <si>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</si>
  <si>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</si>
  <si>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</si>
  <si>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</si>
  <si>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</si>
  <si>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</si>
  <si>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</si>
  <si>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</si>
  <si>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</si>
  <si>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</si>
  <si>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</si>
  <si>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</si>
  <si>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</si>
  <si>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</si>
  <si>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</si>
  <si>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</si>
  <si>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</si>
  <si>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</si>
  <si>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</si>
  <si>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</si>
  <si>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</si>
  <si>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</si>
  <si>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</si>
  <si>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</si>
  <si>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</si>
  <si>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</si>
  <si>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</si>
  <si>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</si>
  <si>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</si>
  <si>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</si>
  <si>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</si>
  <si>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</si>
  <si>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</si>
  <si>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</si>
  <si>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</si>
  <si>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</si>
  <si>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</si>
  <si>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</si>
  <si>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</si>
  <si>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</si>
  <si>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</si>
  <si>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</si>
  <si>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</si>
  <si>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</si>
  <si>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</si>
  <si>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</si>
  <si>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</si>
  <si>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</si>
  <si>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</si>
  <si>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</si>
  <si>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</si>
  <si>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</si>
  <si>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</si>
  <si>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</si>
  <si>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</si>
  <si>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</si>
  <si>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</si>
  <si>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</si>
  <si>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</si>
  <si>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</si>
  <si>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</si>
  <si>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</si>
  <si>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</si>
  <si>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</si>
  <si>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</si>
  <si>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</si>
  <si>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</si>
  <si>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</si>
  <si>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</si>
  <si>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</si>
  <si>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</si>
  <si>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</si>
  <si>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</si>
  <si>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</si>
  <si>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</si>
  <si>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</si>
  <si>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</si>
  <si>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</si>
  <si>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</si>
  <si>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</si>
  <si>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</si>
  <si>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</si>
  <si>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</si>
  <si>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</si>
  <si>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</si>
  <si>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</si>
  <si>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</si>
  <si>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</si>
  <si>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</si>
  <si>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</si>
  <si>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</si>
  <si>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</si>
  <si>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</si>
  <si>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</si>
  <si>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</si>
  <si>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</si>
  <si>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</si>
  <si>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</si>
  <si>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</si>
  <si>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</si>
  <si>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</si>
  <si>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</si>
  <si>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</si>
  <si>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</si>
  <si>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</si>
  <si>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</si>
  <si>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</si>
  <si>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</si>
  <si>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</si>
  <si>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</si>
  <si>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</si>
  <si>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</si>
  <si>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</si>
  <si>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</si>
  <si>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</si>
  <si>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</si>
  <si>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</si>
  <si>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</si>
  <si>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</si>
  <si>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</si>
  <si>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</si>
  <si>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</si>
  <si>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</si>
  <si>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</si>
  <si>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</si>
  <si>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</si>
  <si>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</si>
  <si>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</si>
  <si>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</si>
  <si>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</si>
  <si>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</si>
  <si>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</si>
  <si>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</si>
  <si>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</si>
  <si>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</si>
  <si>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</si>
  <si>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</si>
  <si>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</si>
  <si>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</si>
  <si>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</si>
  <si>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</si>
  <si>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</si>
  <si>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</si>
  <si>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</si>
  <si>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</si>
  <si>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</si>
  <si>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</si>
  <si>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</si>
  <si>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</si>
  <si>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</si>
  <si>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</si>
  <si>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</si>
  <si>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</si>
  <si>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</si>
  <si>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</si>
  <si>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</si>
  <si>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</si>
  <si>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</si>
  <si>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LITCHFIELD SCHOOL DISTRICT</t>
  </si>
  <si>
    <t>08/2000</t>
  </si>
  <si>
    <t>02/2015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</si>
</sst>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315</v>
      </c>
      <c r="C2" s="21">
        <v>315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1126525.82</v>
      </c>
      <c r="G9" s="18">
        <v>85649.27</v>
      </c>
      <c r="H9" s="18"/>
      <c r="I9" s="18"/>
      <c r="J9" s="67">
        <f>SUM(I438)</f>
        <v>155700.57999999999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95559.39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1514.65</v>
      </c>
      <c r="G13" s="18">
        <v>3985.85</v>
      </c>
      <c r="H13" s="18">
        <v>129178.39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21072.799999999999</v>
      </c>
      <c r="G14" s="18">
        <v>348.73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1244672.6599999999</v>
      </c>
      <c r="G19" s="41">
        <f>SUM(G9:G18)</f>
        <v>89983.85</v>
      </c>
      <c r="H19" s="41">
        <f>SUM(H9:H18)</f>
        <v>129178.39</v>
      </c>
      <c r="I19" s="41">
        <f>SUM(I9:I18)</f>
        <v>0</v>
      </c>
      <c r="J19" s="41">
        <f>SUM(J9:J18)</f>
        <v>155700.57999999999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95559.39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49015.02</v>
      </c>
      <c r="G24" s="18">
        <v>1822.48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47953.49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533180.88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440</v>
      </c>
      <c r="G30" s="18">
        <v>9726.18</v>
      </c>
      <c r="H30" s="18">
        <v>33619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630589.39</v>
      </c>
      <c r="G32" s="41">
        <f>SUM(G22:G31)</f>
        <v>11548.66</v>
      </c>
      <c r="H32" s="41">
        <f>SUM(H22:H31)</f>
        <v>129178.39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78435.19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155700.57999999999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221588.88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392494.39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614083.27</v>
      </c>
      <c r="G50" s="41">
        <f>SUM(G35:G49)</f>
        <v>78435.19</v>
      </c>
      <c r="H50" s="41">
        <f>SUM(H35:H49)</f>
        <v>0</v>
      </c>
      <c r="I50" s="41">
        <f>SUM(I35:I49)</f>
        <v>0</v>
      </c>
      <c r="J50" s="41">
        <f>SUM(J35:J49)</f>
        <v>155700.57999999999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1244672.6600000001</v>
      </c>
      <c r="G51" s="41">
        <f>G50+G32</f>
        <v>89983.85</v>
      </c>
      <c r="H51" s="41">
        <f>H50+H32</f>
        <v>129178.39</v>
      </c>
      <c r="I51" s="41">
        <f>I50+I32</f>
        <v>0</v>
      </c>
      <c r="J51" s="41">
        <f>J50+J32</f>
        <v>155700.57999999999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9006079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9006079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16669.37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2305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6094.72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24908.55</v>
      </c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49977.64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12646.57</v>
      </c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12646.57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1787.38</v>
      </c>
      <c r="G95" s="18">
        <v>30.09</v>
      </c>
      <c r="H95" s="18"/>
      <c r="I95" s="18"/>
      <c r="J95" s="18">
        <v>1204.06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415262.19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1800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355013.15</v>
      </c>
      <c r="G109" s="18">
        <v>9618.7999999999993</v>
      </c>
      <c r="H109" s="18">
        <v>7661.24</v>
      </c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358600.53</v>
      </c>
      <c r="G110" s="41">
        <f>SUM(G95:G109)</f>
        <v>424911.08</v>
      </c>
      <c r="H110" s="41">
        <f>SUM(H95:H109)</f>
        <v>7661.24</v>
      </c>
      <c r="I110" s="41">
        <f>SUM(I95:I109)</f>
        <v>0</v>
      </c>
      <c r="J110" s="41">
        <f>SUM(J95:J109)</f>
        <v>1204.06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9427303.7400000002</v>
      </c>
      <c r="G111" s="41">
        <f>G59+G110</f>
        <v>424911.08</v>
      </c>
      <c r="H111" s="41">
        <f>H59+H78+H93+H110</f>
        <v>7661.24</v>
      </c>
      <c r="I111" s="41">
        <f>I59+I110</f>
        <v>0</v>
      </c>
      <c r="J111" s="41">
        <f>J59+J110</f>
        <v>1204.06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6142361.0499999998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1749516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5321.95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7897199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260786.84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100279.32</v>
      </c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110400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155070.07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592.91999999999996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2624.47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5691.85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629753.62</v>
      </c>
      <c r="G135" s="41">
        <f>SUM(G122:G134)</f>
        <v>5691.85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8526952.6199999992</v>
      </c>
      <c r="G139" s="41">
        <f>G120+SUM(G135:G136)</f>
        <v>5691.85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>
        <v>382513.81</v>
      </c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172364.03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39815.42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107882.67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112372.74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171742.41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284115.15000000002</v>
      </c>
      <c r="G161" s="41">
        <f>SUM(G149:G160)</f>
        <v>107882.67</v>
      </c>
      <c r="H161" s="41">
        <f>SUM(H149:H160)</f>
        <v>594693.26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284115.15000000002</v>
      </c>
      <c r="G168" s="41">
        <f>G146+G161+SUM(G162:G167)</f>
        <v>107882.67</v>
      </c>
      <c r="H168" s="41">
        <f>H146+H161+SUM(H162:H167)</f>
        <v>594693.26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18238371.509999998</v>
      </c>
      <c r="G192" s="47">
        <f>G111+G139+G168+G191</f>
        <v>538485.6</v>
      </c>
      <c r="H192" s="47">
        <f>H111+H139+H168+H191</f>
        <v>602354.5</v>
      </c>
      <c r="I192" s="47">
        <f>I111+I139+I168+I191</f>
        <v>0</v>
      </c>
      <c r="J192" s="47">
        <f>J111+J139+J191</f>
        <v>1204.06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1606450.42</v>
      </c>
      <c r="G196" s="18">
        <v>644195.32999999996</v>
      </c>
      <c r="H196" s="18">
        <v>20891.650000000001</v>
      </c>
      <c r="I196" s="18">
        <v>67402.27</v>
      </c>
      <c r="J196" s="18">
        <v>7114</v>
      </c>
      <c r="K196" s="18">
        <v>0</v>
      </c>
      <c r="L196" s="19">
        <f>SUM(F196:K196)</f>
        <v>2346053.67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489263.33</v>
      </c>
      <c r="G197" s="18">
        <v>120161.92</v>
      </c>
      <c r="H197" s="18">
        <v>66465.83</v>
      </c>
      <c r="I197" s="18">
        <v>2242.2199999999998</v>
      </c>
      <c r="J197" s="18">
        <v>1523</v>
      </c>
      <c r="K197" s="18">
        <v>4709.0600000000004</v>
      </c>
      <c r="L197" s="19">
        <f>SUM(F197:K197)</f>
        <v>684365.36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5070.4399999999996</v>
      </c>
      <c r="G199" s="18">
        <v>903.85</v>
      </c>
      <c r="H199" s="18">
        <v>0</v>
      </c>
      <c r="I199" s="18">
        <v>1278.82</v>
      </c>
      <c r="J199" s="18">
        <v>0</v>
      </c>
      <c r="K199" s="18">
        <v>80</v>
      </c>
      <c r="L199" s="19">
        <f>SUM(F199:K199)</f>
        <v>7333.11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227002.21</v>
      </c>
      <c r="G201" s="18">
        <v>103968.35</v>
      </c>
      <c r="H201" s="18">
        <v>19663.78</v>
      </c>
      <c r="I201" s="18">
        <v>6631.81</v>
      </c>
      <c r="J201" s="18">
        <v>3435.31</v>
      </c>
      <c r="K201" s="18">
        <v>0</v>
      </c>
      <c r="L201" s="19">
        <f t="shared" ref="L201:L207" si="0">SUM(F201:K201)</f>
        <v>360701.45999999996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88007.94</v>
      </c>
      <c r="G202" s="18">
        <v>28721.41</v>
      </c>
      <c r="H202" s="18">
        <v>10678.16</v>
      </c>
      <c r="I202" s="18">
        <v>8604.89</v>
      </c>
      <c r="J202" s="18">
        <v>463.84</v>
      </c>
      <c r="K202" s="18">
        <v>1876.69</v>
      </c>
      <c r="L202" s="19">
        <f t="shared" si="0"/>
        <v>138352.93000000002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132783.98000000001</v>
      </c>
      <c r="G203" s="18">
        <v>46203.040000000001</v>
      </c>
      <c r="H203" s="18">
        <v>38698.36</v>
      </c>
      <c r="I203" s="18">
        <v>1133.93</v>
      </c>
      <c r="J203" s="18">
        <v>574.14</v>
      </c>
      <c r="K203" s="18">
        <v>5409.49</v>
      </c>
      <c r="L203" s="19">
        <f t="shared" si="0"/>
        <v>224802.94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236465.02</v>
      </c>
      <c r="G204" s="18">
        <v>118752.2</v>
      </c>
      <c r="H204" s="18">
        <v>1749.57</v>
      </c>
      <c r="I204" s="18">
        <v>1532.29</v>
      </c>
      <c r="J204" s="18">
        <v>0</v>
      </c>
      <c r="K204" s="18">
        <v>1303.8800000000001</v>
      </c>
      <c r="L204" s="19">
        <f t="shared" si="0"/>
        <v>359802.95999999996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61577.79</v>
      </c>
      <c r="G205" s="18">
        <v>20167.77</v>
      </c>
      <c r="H205" s="18">
        <v>18367.63</v>
      </c>
      <c r="I205" s="18">
        <v>2660.16</v>
      </c>
      <c r="J205" s="18">
        <v>923.87</v>
      </c>
      <c r="K205" s="18">
        <v>797.63</v>
      </c>
      <c r="L205" s="19">
        <f t="shared" si="0"/>
        <v>104494.85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211044.86</v>
      </c>
      <c r="G206" s="18">
        <v>90358.88</v>
      </c>
      <c r="H206" s="18">
        <v>120466.5</v>
      </c>
      <c r="I206" s="18">
        <v>153379.69</v>
      </c>
      <c r="J206" s="18">
        <v>53.33</v>
      </c>
      <c r="K206" s="18">
        <v>45.29</v>
      </c>
      <c r="L206" s="19">
        <f t="shared" si="0"/>
        <v>575348.54999999993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0</v>
      </c>
      <c r="G207" s="18">
        <v>0</v>
      </c>
      <c r="H207" s="18">
        <v>191624.54</v>
      </c>
      <c r="I207" s="18">
        <v>0</v>
      </c>
      <c r="J207" s="18">
        <v>0</v>
      </c>
      <c r="K207" s="18">
        <v>0</v>
      </c>
      <c r="L207" s="19">
        <f t="shared" si="0"/>
        <v>191624.54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58380.66</v>
      </c>
      <c r="G208" s="18">
        <v>33933.660000000003</v>
      </c>
      <c r="H208" s="18">
        <v>42471.78</v>
      </c>
      <c r="I208" s="18">
        <v>17790.93</v>
      </c>
      <c r="J208" s="18">
        <v>5690.1</v>
      </c>
      <c r="K208" s="18">
        <v>497.4</v>
      </c>
      <c r="L208" s="19">
        <f>SUM(F208:K208)</f>
        <v>158764.53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3116046.65</v>
      </c>
      <c r="G210" s="41">
        <f t="shared" si="1"/>
        <v>1207366.4099999999</v>
      </c>
      <c r="H210" s="41">
        <f t="shared" si="1"/>
        <v>531077.80000000005</v>
      </c>
      <c r="I210" s="41">
        <f t="shared" si="1"/>
        <v>262657.01</v>
      </c>
      <c r="J210" s="41">
        <f t="shared" si="1"/>
        <v>19777.59</v>
      </c>
      <c r="K210" s="41">
        <f t="shared" si="1"/>
        <v>14719.439999999999</v>
      </c>
      <c r="L210" s="41">
        <f t="shared" si="1"/>
        <v>5151644.8999999994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1838814.42</v>
      </c>
      <c r="G214" s="18">
        <v>778788.65</v>
      </c>
      <c r="H214" s="18">
        <v>23285.46</v>
      </c>
      <c r="I214" s="18">
        <v>55030</v>
      </c>
      <c r="J214" s="18">
        <v>2810.29</v>
      </c>
      <c r="K214" s="18">
        <v>271</v>
      </c>
      <c r="L214" s="19">
        <f>SUM(F214:K214)</f>
        <v>2698999.82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348251.42</v>
      </c>
      <c r="G215" s="18">
        <v>92748.54</v>
      </c>
      <c r="H215" s="18">
        <v>186309.93</v>
      </c>
      <c r="I215" s="18">
        <v>3839.52</v>
      </c>
      <c r="J215" s="18">
        <v>0</v>
      </c>
      <c r="K215" s="18">
        <v>3961.77</v>
      </c>
      <c r="L215" s="19">
        <f>SUM(F215:K215)</f>
        <v>635111.17999999993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47983.24</v>
      </c>
      <c r="G217" s="18">
        <v>6918.27</v>
      </c>
      <c r="H217" s="18">
        <v>4770</v>
      </c>
      <c r="I217" s="18">
        <v>1965.75</v>
      </c>
      <c r="J217" s="18">
        <v>0</v>
      </c>
      <c r="K217" s="18">
        <v>945</v>
      </c>
      <c r="L217" s="19">
        <f>SUM(F217:K217)</f>
        <v>62582.259999999995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302477.36</v>
      </c>
      <c r="G219" s="18">
        <v>107247.97</v>
      </c>
      <c r="H219" s="18">
        <v>22224.27</v>
      </c>
      <c r="I219" s="18">
        <v>7489.24</v>
      </c>
      <c r="J219" s="18">
        <v>0</v>
      </c>
      <c r="K219" s="18">
        <v>0</v>
      </c>
      <c r="L219" s="19">
        <f t="shared" ref="L219:L225" si="2">SUM(F219:K219)</f>
        <v>439438.83999999997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56763.71</v>
      </c>
      <c r="G220" s="18">
        <v>22611.38</v>
      </c>
      <c r="H220" s="18">
        <v>9092.5499999999993</v>
      </c>
      <c r="I220" s="18">
        <v>6098.28</v>
      </c>
      <c r="J220" s="18">
        <v>250</v>
      </c>
      <c r="K220" s="18">
        <v>1688.96</v>
      </c>
      <c r="L220" s="19">
        <f t="shared" si="2"/>
        <v>96504.88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131910.06</v>
      </c>
      <c r="G221" s="18">
        <v>45343.86</v>
      </c>
      <c r="H221" s="18">
        <v>39606.28</v>
      </c>
      <c r="I221" s="18">
        <v>1200.9100000000001</v>
      </c>
      <c r="J221" s="18">
        <v>627.42999999999995</v>
      </c>
      <c r="K221" s="18">
        <v>5772.88</v>
      </c>
      <c r="L221" s="19">
        <f t="shared" si="2"/>
        <v>224461.41999999998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253325.11</v>
      </c>
      <c r="G222" s="18">
        <v>93827.15</v>
      </c>
      <c r="H222" s="18">
        <v>5462.19</v>
      </c>
      <c r="I222" s="18">
        <v>1655.96</v>
      </c>
      <c r="J222" s="18">
        <v>0</v>
      </c>
      <c r="K222" s="18">
        <v>5080.88</v>
      </c>
      <c r="L222" s="19">
        <f t="shared" si="2"/>
        <v>359351.29000000004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55418.21</v>
      </c>
      <c r="G223" s="18">
        <v>18150.41</v>
      </c>
      <c r="H223" s="18">
        <v>16530.330000000002</v>
      </c>
      <c r="I223" s="18">
        <v>2394.0700000000002</v>
      </c>
      <c r="J223" s="18">
        <v>831.46</v>
      </c>
      <c r="K223" s="18">
        <v>717.83</v>
      </c>
      <c r="L223" s="19">
        <f t="shared" si="2"/>
        <v>94042.310000000012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152425.38</v>
      </c>
      <c r="G224" s="18">
        <v>64028.46</v>
      </c>
      <c r="H224" s="18">
        <v>155852.04999999999</v>
      </c>
      <c r="I224" s="18">
        <v>140979.34</v>
      </c>
      <c r="J224" s="18">
        <v>62.45</v>
      </c>
      <c r="K224" s="18">
        <v>53.05</v>
      </c>
      <c r="L224" s="19">
        <f t="shared" si="2"/>
        <v>513400.73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0</v>
      </c>
      <c r="G225" s="18">
        <v>0</v>
      </c>
      <c r="H225" s="18">
        <v>211304.53</v>
      </c>
      <c r="I225" s="18">
        <v>0</v>
      </c>
      <c r="J225" s="18">
        <v>0</v>
      </c>
      <c r="K225" s="18">
        <v>0</v>
      </c>
      <c r="L225" s="19">
        <f t="shared" si="2"/>
        <v>211304.53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52540.88</v>
      </c>
      <c r="G226" s="18">
        <v>30539.3</v>
      </c>
      <c r="H226" s="18">
        <v>33246.19</v>
      </c>
      <c r="I226" s="18">
        <v>19113.919999999998</v>
      </c>
      <c r="J226" s="18">
        <v>5120.93</v>
      </c>
      <c r="K226" s="18">
        <v>447.65</v>
      </c>
      <c r="L226" s="19">
        <f>SUM(F226:K226)</f>
        <v>141008.86999999997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3239909.7899999996</v>
      </c>
      <c r="G228" s="41">
        <f>SUM(G214:G227)</f>
        <v>1260203.99</v>
      </c>
      <c r="H228" s="41">
        <f>SUM(H214:H227)</f>
        <v>707683.78</v>
      </c>
      <c r="I228" s="41">
        <f>SUM(I214:I227)</f>
        <v>239766.99</v>
      </c>
      <c r="J228" s="41">
        <f>SUM(J214:J227)</f>
        <v>9702.5600000000013</v>
      </c>
      <c r="K228" s="41">
        <f t="shared" si="3"/>
        <v>18939.020000000004</v>
      </c>
      <c r="L228" s="41">
        <f t="shared" si="3"/>
        <v>5476206.129999999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1795814.45</v>
      </c>
      <c r="G232" s="18">
        <v>762577.76</v>
      </c>
      <c r="H232" s="18">
        <v>29059.29</v>
      </c>
      <c r="I232" s="18">
        <v>89876.61</v>
      </c>
      <c r="J232" s="18">
        <v>13228.14</v>
      </c>
      <c r="K232" s="18">
        <v>2646.6</v>
      </c>
      <c r="L232" s="19">
        <f>SUM(F232:K232)</f>
        <v>2693202.85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250154.45</v>
      </c>
      <c r="G233" s="18">
        <v>59501.68</v>
      </c>
      <c r="H233" s="18">
        <v>554936.07999999996</v>
      </c>
      <c r="I233" s="18">
        <v>545.41999999999996</v>
      </c>
      <c r="J233" s="18">
        <v>0</v>
      </c>
      <c r="K233" s="18">
        <v>3572.6779999999999</v>
      </c>
      <c r="L233" s="19">
        <f>SUM(F233:K233)</f>
        <v>868710.30799999996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>
        <v>27953.119999999999</v>
      </c>
      <c r="I234" s="18">
        <v>0</v>
      </c>
      <c r="J234" s="18">
        <v>0</v>
      </c>
      <c r="K234" s="18">
        <v>0</v>
      </c>
      <c r="L234" s="19">
        <f>SUM(F234:K234)</f>
        <v>27953.119999999999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204794.8</v>
      </c>
      <c r="G235" s="18">
        <v>52233.24</v>
      </c>
      <c r="H235" s="18">
        <v>65068.41</v>
      </c>
      <c r="I235" s="18">
        <v>35704.47</v>
      </c>
      <c r="J235" s="18">
        <v>2056</v>
      </c>
      <c r="K235" s="18">
        <v>12174.38</v>
      </c>
      <c r="L235" s="19">
        <f>SUM(F235:K235)</f>
        <v>372031.29999999993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401345.59</v>
      </c>
      <c r="G237" s="18">
        <v>164939.38</v>
      </c>
      <c r="H237" s="18">
        <v>30053.45</v>
      </c>
      <c r="I237" s="18">
        <v>9152.75</v>
      </c>
      <c r="J237" s="18">
        <v>3240.43</v>
      </c>
      <c r="K237" s="18">
        <v>1679.46</v>
      </c>
      <c r="L237" s="19">
        <f t="shared" ref="L237:L243" si="4">SUM(F237:K237)</f>
        <v>610411.05999999994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97202.29</v>
      </c>
      <c r="G238" s="18">
        <v>48783.86</v>
      </c>
      <c r="H238" s="18">
        <v>35517.67</v>
      </c>
      <c r="I238" s="18">
        <v>11467.53</v>
      </c>
      <c r="J238" s="18">
        <v>10094.86</v>
      </c>
      <c r="K238" s="18">
        <v>1923.35</v>
      </c>
      <c r="L238" s="19">
        <f t="shared" si="4"/>
        <v>204989.56000000003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117423.89</v>
      </c>
      <c r="G239" s="18">
        <v>39972.5</v>
      </c>
      <c r="H239" s="18">
        <v>36077.31</v>
      </c>
      <c r="I239" s="18">
        <v>1121.56</v>
      </c>
      <c r="J239" s="18">
        <v>598.80999999999995</v>
      </c>
      <c r="K239" s="18">
        <v>5420.51</v>
      </c>
      <c r="L239" s="19">
        <f t="shared" si="4"/>
        <v>200614.58000000002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296255.42</v>
      </c>
      <c r="G240" s="18">
        <v>112101.28</v>
      </c>
      <c r="H240" s="18">
        <v>15312.32</v>
      </c>
      <c r="I240" s="18">
        <v>3607.84</v>
      </c>
      <c r="J240" s="18">
        <v>0</v>
      </c>
      <c r="K240" s="18">
        <v>12619.55</v>
      </c>
      <c r="L240" s="19">
        <f t="shared" si="4"/>
        <v>439896.41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63108.68</v>
      </c>
      <c r="G241" s="18">
        <v>20669.169999999998</v>
      </c>
      <c r="H241" s="18">
        <v>18824.27</v>
      </c>
      <c r="I241" s="18">
        <v>2726.29</v>
      </c>
      <c r="J241" s="18">
        <v>946.84</v>
      </c>
      <c r="K241" s="18">
        <v>817.45</v>
      </c>
      <c r="L241" s="19">
        <f t="shared" si="4"/>
        <v>107092.7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226720.51</v>
      </c>
      <c r="G242" s="18">
        <v>107579.63</v>
      </c>
      <c r="H242" s="18">
        <v>184903.24</v>
      </c>
      <c r="I242" s="18">
        <v>251662.8</v>
      </c>
      <c r="J242" s="18">
        <v>15177.06</v>
      </c>
      <c r="K242" s="18">
        <v>86.67</v>
      </c>
      <c r="L242" s="19">
        <f t="shared" si="4"/>
        <v>786129.91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0</v>
      </c>
      <c r="G243" s="18">
        <v>0</v>
      </c>
      <c r="H243" s="18">
        <v>290082.78000000003</v>
      </c>
      <c r="I243" s="18">
        <v>0</v>
      </c>
      <c r="J243" s="18">
        <v>0</v>
      </c>
      <c r="K243" s="18">
        <v>0</v>
      </c>
      <c r="L243" s="19">
        <f t="shared" si="4"/>
        <v>290082.78000000003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59832.06</v>
      </c>
      <c r="G244" s="18">
        <v>34777.29</v>
      </c>
      <c r="H244" s="18">
        <v>38313.4</v>
      </c>
      <c r="I244" s="18">
        <v>22504.74</v>
      </c>
      <c r="J244" s="18">
        <v>5945.02</v>
      </c>
      <c r="K244" s="18">
        <v>509.75</v>
      </c>
      <c r="L244" s="19">
        <f>SUM(F244:K244)</f>
        <v>161882.25999999998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3512652.14</v>
      </c>
      <c r="G246" s="41">
        <f t="shared" si="5"/>
        <v>1403135.79</v>
      </c>
      <c r="H246" s="41">
        <f t="shared" si="5"/>
        <v>1326101.3399999999</v>
      </c>
      <c r="I246" s="41">
        <f t="shared" si="5"/>
        <v>428370.01</v>
      </c>
      <c r="J246" s="41">
        <f t="shared" si="5"/>
        <v>51287.16</v>
      </c>
      <c r="K246" s="41">
        <f t="shared" si="5"/>
        <v>41450.397999999986</v>
      </c>
      <c r="L246" s="41">
        <f t="shared" si="5"/>
        <v>6762996.8379999995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>
        <v>23182.27</v>
      </c>
      <c r="G249" s="18">
        <v>3880.48</v>
      </c>
      <c r="H249" s="18">
        <v>0</v>
      </c>
      <c r="I249" s="18">
        <v>235.71</v>
      </c>
      <c r="J249" s="18">
        <v>0</v>
      </c>
      <c r="K249" s="18">
        <v>0</v>
      </c>
      <c r="L249" s="19">
        <f t="shared" ref="L249:L254" si="6">SUM(F249:K249)</f>
        <v>27298.46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6569.3</v>
      </c>
      <c r="G250" s="18">
        <v>1138.78</v>
      </c>
      <c r="H250" s="18">
        <v>595.65</v>
      </c>
      <c r="I250" s="18">
        <v>28.25</v>
      </c>
      <c r="J250" s="18">
        <v>0</v>
      </c>
      <c r="K250" s="18">
        <v>0</v>
      </c>
      <c r="L250" s="19">
        <f t="shared" si="6"/>
        <v>8331.98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>
        <v>0</v>
      </c>
      <c r="G254" s="18">
        <v>0</v>
      </c>
      <c r="H254" s="18">
        <v>117030</v>
      </c>
      <c r="I254" s="18">
        <v>0</v>
      </c>
      <c r="J254" s="18">
        <v>130275</v>
      </c>
      <c r="K254" s="18">
        <v>0</v>
      </c>
      <c r="L254" s="19">
        <f t="shared" si="6"/>
        <v>247305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29751.57</v>
      </c>
      <c r="G255" s="41">
        <f t="shared" si="7"/>
        <v>5019.26</v>
      </c>
      <c r="H255" s="41">
        <f t="shared" si="7"/>
        <v>117625.65</v>
      </c>
      <c r="I255" s="41">
        <f t="shared" si="7"/>
        <v>263.96000000000004</v>
      </c>
      <c r="J255" s="41">
        <f t="shared" si="7"/>
        <v>130275</v>
      </c>
      <c r="K255" s="41">
        <f t="shared" si="7"/>
        <v>0</v>
      </c>
      <c r="L255" s="41">
        <f>SUM(F255:K255)</f>
        <v>282935.43999999994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9898360.1500000004</v>
      </c>
      <c r="G256" s="41">
        <f t="shared" si="8"/>
        <v>3875725.4499999997</v>
      </c>
      <c r="H256" s="41">
        <f t="shared" si="8"/>
        <v>2682488.5699999998</v>
      </c>
      <c r="I256" s="41">
        <f t="shared" si="8"/>
        <v>931057.97</v>
      </c>
      <c r="J256" s="41">
        <f t="shared" si="8"/>
        <v>211042.31</v>
      </c>
      <c r="K256" s="41">
        <f t="shared" si="8"/>
        <v>75108.857999999993</v>
      </c>
      <c r="L256" s="41">
        <f t="shared" si="8"/>
        <v>17673783.307999998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800000</v>
      </c>
      <c r="L259" s="19">
        <f>SUM(F259:K259)</f>
        <v>800000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151462.53</v>
      </c>
      <c r="L260" s="19">
        <f>SUM(F260:K260)</f>
        <v>151462.53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951462.53</v>
      </c>
      <c r="L269" s="41">
        <f t="shared" si="9"/>
        <v>951462.53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9898360.1500000004</v>
      </c>
      <c r="G270" s="42">
        <f t="shared" si="11"/>
        <v>3875725.4499999997</v>
      </c>
      <c r="H270" s="42">
        <f t="shared" si="11"/>
        <v>2682488.5699999998</v>
      </c>
      <c r="I270" s="42">
        <f t="shared" si="11"/>
        <v>931057.97</v>
      </c>
      <c r="J270" s="42">
        <f t="shared" si="11"/>
        <v>211042.31</v>
      </c>
      <c r="K270" s="42">
        <f t="shared" si="11"/>
        <v>1026571.388</v>
      </c>
      <c r="L270" s="42">
        <f t="shared" si="11"/>
        <v>18625245.838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49565.86</v>
      </c>
      <c r="G275" s="18">
        <v>7513.91</v>
      </c>
      <c r="H275" s="18">
        <v>14112.14</v>
      </c>
      <c r="I275" s="18">
        <v>1558.46</v>
      </c>
      <c r="J275" s="18">
        <v>0</v>
      </c>
      <c r="K275" s="18">
        <v>0</v>
      </c>
      <c r="L275" s="19">
        <f>SUM(F275:K275)</f>
        <v>72750.37000000001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6822.81</v>
      </c>
      <c r="G276" s="18">
        <v>716.62</v>
      </c>
      <c r="H276" s="18">
        <v>1598.04</v>
      </c>
      <c r="I276" s="18">
        <v>1701.66</v>
      </c>
      <c r="J276" s="18">
        <v>37353.599999999999</v>
      </c>
      <c r="K276" s="18">
        <v>0</v>
      </c>
      <c r="L276" s="19">
        <f>SUM(F276:K276)</f>
        <v>48192.729999999996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20539.91</v>
      </c>
      <c r="G280" s="18">
        <v>9954.8700000000008</v>
      </c>
      <c r="H280" s="18">
        <v>0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30494.78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0</v>
      </c>
      <c r="G281" s="18">
        <v>0</v>
      </c>
      <c r="H281" s="18">
        <v>583.25</v>
      </c>
      <c r="I281" s="18">
        <v>0</v>
      </c>
      <c r="J281" s="18">
        <v>0</v>
      </c>
      <c r="K281" s="18">
        <v>0</v>
      </c>
      <c r="L281" s="19">
        <f t="shared" si="12"/>
        <v>583.25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378.19</v>
      </c>
      <c r="L287" s="19">
        <f>SUM(F287:K287)</f>
        <v>378.19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76928.58</v>
      </c>
      <c r="G289" s="42">
        <f t="shared" si="13"/>
        <v>18185.400000000001</v>
      </c>
      <c r="H289" s="42">
        <f t="shared" si="13"/>
        <v>16293.43</v>
      </c>
      <c r="I289" s="42">
        <f t="shared" si="13"/>
        <v>3260.12</v>
      </c>
      <c r="J289" s="42">
        <f t="shared" si="13"/>
        <v>37353.599999999999</v>
      </c>
      <c r="K289" s="42">
        <f t="shared" si="13"/>
        <v>378.19</v>
      </c>
      <c r="L289" s="41">
        <f t="shared" si="13"/>
        <v>152399.32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67024.800000000003</v>
      </c>
      <c r="G294" s="18">
        <v>11985.19</v>
      </c>
      <c r="H294" s="18">
        <v>18470.98</v>
      </c>
      <c r="I294" s="18">
        <v>2731.25</v>
      </c>
      <c r="J294" s="18">
        <v>0</v>
      </c>
      <c r="K294" s="18">
        <v>0</v>
      </c>
      <c r="L294" s="19">
        <f>SUM(F294:K294)</f>
        <v>100212.22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84430.59</v>
      </c>
      <c r="G295" s="18">
        <v>33184.54</v>
      </c>
      <c r="H295" s="18">
        <v>1369.75</v>
      </c>
      <c r="I295" s="18">
        <v>77.239999999999995</v>
      </c>
      <c r="J295" s="18">
        <v>20133.43</v>
      </c>
      <c r="K295" s="18">
        <v>0</v>
      </c>
      <c r="L295" s="19">
        <f>SUM(F295:K295)</f>
        <v>139195.55000000002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22446.400000000001</v>
      </c>
      <c r="G299" s="18">
        <v>10878.87</v>
      </c>
      <c r="H299" s="18">
        <v>0</v>
      </c>
      <c r="I299" s="18">
        <v>0</v>
      </c>
      <c r="J299" s="18">
        <v>0</v>
      </c>
      <c r="K299" s="18">
        <v>0</v>
      </c>
      <c r="L299" s="19">
        <f t="shared" ref="L299:L305" si="14">SUM(F299:K299)</f>
        <v>33325.270000000004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0</v>
      </c>
      <c r="G300" s="18">
        <v>0</v>
      </c>
      <c r="H300" s="18">
        <v>4880.84</v>
      </c>
      <c r="I300" s="18">
        <v>0</v>
      </c>
      <c r="J300" s="18">
        <v>0</v>
      </c>
      <c r="K300" s="18">
        <v>0</v>
      </c>
      <c r="L300" s="19">
        <f t="shared" si="14"/>
        <v>4880.84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340.36</v>
      </c>
      <c r="L306" s="19">
        <f>SUM(F306:K306)</f>
        <v>340.36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173901.79</v>
      </c>
      <c r="G308" s="42">
        <f t="shared" si="15"/>
        <v>56048.600000000006</v>
      </c>
      <c r="H308" s="42">
        <f t="shared" si="15"/>
        <v>24721.57</v>
      </c>
      <c r="I308" s="42">
        <f t="shared" si="15"/>
        <v>2808.49</v>
      </c>
      <c r="J308" s="42">
        <f t="shared" si="15"/>
        <v>20133.43</v>
      </c>
      <c r="K308" s="42">
        <f t="shared" si="15"/>
        <v>340.36</v>
      </c>
      <c r="L308" s="41">
        <f t="shared" si="15"/>
        <v>277954.24000000005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15227.97</v>
      </c>
      <c r="G313" s="18">
        <v>3133.48</v>
      </c>
      <c r="H313" s="18">
        <v>13745.15</v>
      </c>
      <c r="I313" s="18">
        <v>4689.99</v>
      </c>
      <c r="J313" s="18">
        <v>0</v>
      </c>
      <c r="K313" s="18">
        <v>3000</v>
      </c>
      <c r="L313" s="19">
        <f>SUM(F313:K313)</f>
        <v>39796.589999999997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61234.65</v>
      </c>
      <c r="G314" s="18">
        <v>30347.65</v>
      </c>
      <c r="H314" s="18">
        <v>1065.6300000000001</v>
      </c>
      <c r="I314" s="18">
        <v>60.09</v>
      </c>
      <c r="J314" s="18">
        <v>7218.58</v>
      </c>
      <c r="K314" s="18">
        <v>0</v>
      </c>
      <c r="L314" s="19">
        <f>SUM(F314:K314)</f>
        <v>99926.6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21422.31</v>
      </c>
      <c r="G318" s="18">
        <v>10382.530000000001</v>
      </c>
      <c r="H318" s="18">
        <v>0</v>
      </c>
      <c r="I318" s="18">
        <v>0</v>
      </c>
      <c r="J318" s="18">
        <v>0</v>
      </c>
      <c r="K318" s="18">
        <v>0</v>
      </c>
      <c r="L318" s="19">
        <f t="shared" ref="L318:L324" si="16">SUM(F318:K318)</f>
        <v>31804.840000000004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0</v>
      </c>
      <c r="G319" s="18">
        <v>0</v>
      </c>
      <c r="H319" s="18">
        <v>85.32</v>
      </c>
      <c r="I319" s="18">
        <v>0</v>
      </c>
      <c r="J319" s="18">
        <v>0</v>
      </c>
      <c r="K319" s="18">
        <v>0</v>
      </c>
      <c r="L319" s="19">
        <f t="shared" si="16"/>
        <v>85.32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387.59</v>
      </c>
      <c r="L325" s="19">
        <f>SUM(F325:K325)</f>
        <v>387.59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97884.93</v>
      </c>
      <c r="G327" s="42">
        <f t="shared" si="17"/>
        <v>43863.66</v>
      </c>
      <c r="H327" s="42">
        <f t="shared" si="17"/>
        <v>14896.099999999999</v>
      </c>
      <c r="I327" s="42">
        <f t="shared" si="17"/>
        <v>4750.08</v>
      </c>
      <c r="J327" s="42">
        <f t="shared" si="17"/>
        <v>7218.58</v>
      </c>
      <c r="K327" s="42">
        <f t="shared" si="17"/>
        <v>3387.59</v>
      </c>
      <c r="L327" s="41">
        <f t="shared" si="17"/>
        <v>172000.94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348715.3</v>
      </c>
      <c r="G337" s="41">
        <f t="shared" si="20"/>
        <v>118097.66</v>
      </c>
      <c r="H337" s="41">
        <f t="shared" si="20"/>
        <v>55911.1</v>
      </c>
      <c r="I337" s="41">
        <f t="shared" si="20"/>
        <v>10818.689999999999</v>
      </c>
      <c r="J337" s="41">
        <f t="shared" si="20"/>
        <v>64705.61</v>
      </c>
      <c r="K337" s="41">
        <f t="shared" si="20"/>
        <v>4106.1400000000003</v>
      </c>
      <c r="L337" s="41">
        <f t="shared" si="20"/>
        <v>602354.5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348715.3</v>
      </c>
      <c r="G351" s="41">
        <f>G337</f>
        <v>118097.66</v>
      </c>
      <c r="H351" s="41">
        <f>H337</f>
        <v>55911.1</v>
      </c>
      <c r="I351" s="41">
        <f>I337</f>
        <v>10818.689999999999</v>
      </c>
      <c r="J351" s="41">
        <f>J337</f>
        <v>64705.61</v>
      </c>
      <c r="K351" s="47">
        <f>K337+K350</f>
        <v>4106.1400000000003</v>
      </c>
      <c r="L351" s="41">
        <f>L337+L350</f>
        <v>602354.5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53951.86</v>
      </c>
      <c r="G357" s="18">
        <v>8401.7000000000007</v>
      </c>
      <c r="H357" s="18">
        <v>3281.69</v>
      </c>
      <c r="I357" s="18">
        <v>64187.71</v>
      </c>
      <c r="J357" s="18">
        <v>1205.6600000000001</v>
      </c>
      <c r="K357" s="18">
        <v>588.53</v>
      </c>
      <c r="L357" s="13">
        <f>SUM(F357:K357)</f>
        <v>131617.15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61880.93</v>
      </c>
      <c r="G358" s="18">
        <v>9562.7099999999991</v>
      </c>
      <c r="H358" s="18">
        <v>3643.73</v>
      </c>
      <c r="I358" s="18">
        <v>103827.51</v>
      </c>
      <c r="J358" s="18">
        <v>1332.49</v>
      </c>
      <c r="K358" s="18">
        <v>356.53</v>
      </c>
      <c r="L358" s="19">
        <f>SUM(F358:K358)</f>
        <v>180603.9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80866.179999999993</v>
      </c>
      <c r="G359" s="18">
        <v>27658.52</v>
      </c>
      <c r="H359" s="18">
        <v>3504.94</v>
      </c>
      <c r="I359" s="18">
        <v>125054.52</v>
      </c>
      <c r="J359" s="18">
        <v>3803.37</v>
      </c>
      <c r="K359" s="18">
        <v>548.94000000000005</v>
      </c>
      <c r="L359" s="19">
        <f>SUM(F359:K359)</f>
        <v>241436.47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196698.97</v>
      </c>
      <c r="G361" s="47">
        <f t="shared" si="22"/>
        <v>45622.93</v>
      </c>
      <c r="H361" s="47">
        <f t="shared" si="22"/>
        <v>10430.36</v>
      </c>
      <c r="I361" s="47">
        <f t="shared" si="22"/>
        <v>293069.74</v>
      </c>
      <c r="J361" s="47">
        <f t="shared" si="22"/>
        <v>6341.52</v>
      </c>
      <c r="K361" s="47">
        <f t="shared" si="22"/>
        <v>1494</v>
      </c>
      <c r="L361" s="47">
        <f t="shared" si="22"/>
        <v>553657.52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59405.71</v>
      </c>
      <c r="G366" s="18">
        <v>99247.18</v>
      </c>
      <c r="H366" s="18">
        <v>117948.75</v>
      </c>
      <c r="I366" s="56">
        <f>SUM(F366:H366)</f>
        <v>276601.64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4782</v>
      </c>
      <c r="G367" s="63">
        <v>4580.33</v>
      </c>
      <c r="H367" s="63">
        <v>7105.77</v>
      </c>
      <c r="I367" s="56">
        <f>SUM(F367:H367)</f>
        <v>16468.099999999999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64187.71</v>
      </c>
      <c r="G368" s="47">
        <f>SUM(G366:G367)</f>
        <v>103827.51</v>
      </c>
      <c r="H368" s="47">
        <f>SUM(H366:H367)</f>
        <v>125054.52</v>
      </c>
      <c r="I368" s="47">
        <f>SUM(I366:I367)</f>
        <v>293069.74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407.05</v>
      </c>
      <c r="I395" s="18"/>
      <c r="J395" s="24" t="s">
        <v>289</v>
      </c>
      <c r="K395" s="24" t="s">
        <v>289</v>
      </c>
      <c r="L395" s="56">
        <f t="shared" si="26"/>
        <v>407.05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797.01</v>
      </c>
      <c r="I396" s="18"/>
      <c r="J396" s="24" t="s">
        <v>289</v>
      </c>
      <c r="K396" s="24" t="s">
        <v>289</v>
      </c>
      <c r="L396" s="56">
        <f t="shared" si="26"/>
        <v>797.01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1204.06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1204.06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1204.06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1204.06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155700.57999999999</v>
      </c>
      <c r="H438" s="18"/>
      <c r="I438" s="56">
        <f t="shared" ref="I438:I444" si="33">SUM(F438:H438)</f>
        <v>155700.57999999999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155700.57999999999</v>
      </c>
      <c r="H445" s="13">
        <f>SUM(H438:H444)</f>
        <v>0</v>
      </c>
      <c r="I445" s="13">
        <f>SUM(I438:I444)</f>
        <v>155700.57999999999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155700.57999999999</v>
      </c>
      <c r="H458" s="18"/>
      <c r="I458" s="56">
        <f t="shared" si="34"/>
        <v>155700.57999999999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155700.57999999999</v>
      </c>
      <c r="H459" s="83">
        <f>SUM(H453:H458)</f>
        <v>0</v>
      </c>
      <c r="I459" s="83">
        <f>SUM(I453:I458)</f>
        <v>155700.57999999999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155700.57999999999</v>
      </c>
      <c r="H460" s="42">
        <f>H451+H459</f>
        <v>0</v>
      </c>
      <c r="I460" s="42">
        <f>I451+I459</f>
        <v>155700.57999999999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1000957.6</v>
      </c>
      <c r="G464" s="18">
        <v>93607.11</v>
      </c>
      <c r="H464" s="18">
        <v>0</v>
      </c>
      <c r="I464" s="18"/>
      <c r="J464" s="18">
        <v>154496.51999999999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18238371.510000002</v>
      </c>
      <c r="G467" s="18">
        <v>538485.6</v>
      </c>
      <c r="H467" s="18">
        <v>602354.5</v>
      </c>
      <c r="I467" s="18"/>
      <c r="J467" s="18">
        <v>1204.06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18238371.510000002</v>
      </c>
      <c r="G469" s="53">
        <f>SUM(G467:G468)</f>
        <v>538485.6</v>
      </c>
      <c r="H469" s="53">
        <f>SUM(H467:H468)</f>
        <v>602354.5</v>
      </c>
      <c r="I469" s="53">
        <f>SUM(I467:I468)</f>
        <v>0</v>
      </c>
      <c r="J469" s="53">
        <f>SUM(J467:J468)</f>
        <v>1204.06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18625245.84</v>
      </c>
      <c r="G471" s="18">
        <v>553657.52</v>
      </c>
      <c r="H471" s="18">
        <v>602354.5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18625245.84</v>
      </c>
      <c r="G473" s="53">
        <f>SUM(G471:G472)</f>
        <v>553657.52</v>
      </c>
      <c r="H473" s="53">
        <f>SUM(H471:H472)</f>
        <v>602354.5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614083.27000000328</v>
      </c>
      <c r="G475" s="53">
        <f>(G464+G469)- G473</f>
        <v>78435.189999999944</v>
      </c>
      <c r="H475" s="53">
        <f>(H464+H469)- H473</f>
        <v>0</v>
      </c>
      <c r="I475" s="53">
        <f>(I464+I469)- I473</f>
        <v>0</v>
      </c>
      <c r="J475" s="53">
        <f>(J464+J469)- J473</f>
        <v>155700.57999999999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11685000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5.14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2885000</v>
      </c>
      <c r="G494" s="18"/>
      <c r="H494" s="18"/>
      <c r="I494" s="18"/>
      <c r="J494" s="18"/>
      <c r="K494" s="53">
        <f>SUM(F494:J494)</f>
        <v>2885000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800000</v>
      </c>
      <c r="G496" s="18"/>
      <c r="H496" s="18"/>
      <c r="I496" s="18"/>
      <c r="J496" s="18"/>
      <c r="K496" s="53">
        <f t="shared" si="35"/>
        <v>800000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2085000</v>
      </c>
      <c r="G497" s="205"/>
      <c r="H497" s="205"/>
      <c r="I497" s="205"/>
      <c r="J497" s="205"/>
      <c r="K497" s="206">
        <f t="shared" si="35"/>
        <v>2085000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202387.5</v>
      </c>
      <c r="G498" s="18"/>
      <c r="H498" s="18"/>
      <c r="I498" s="18"/>
      <c r="J498" s="18"/>
      <c r="K498" s="53">
        <f t="shared" si="35"/>
        <v>202387.5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2287387.5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2287387.5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800000</v>
      </c>
      <c r="G500" s="205"/>
      <c r="H500" s="205"/>
      <c r="I500" s="205"/>
      <c r="J500" s="205"/>
      <c r="K500" s="206">
        <f t="shared" si="35"/>
        <v>800000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109462.5</v>
      </c>
      <c r="G501" s="18"/>
      <c r="H501" s="18"/>
      <c r="I501" s="18"/>
      <c r="J501" s="18"/>
      <c r="K501" s="53">
        <f t="shared" si="35"/>
        <v>109462.5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909462.5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909462.5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743270</v>
      </c>
      <c r="G506" s="144"/>
      <c r="H506" s="144"/>
      <c r="I506" s="144">
        <v>733472</v>
      </c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496086.14</v>
      </c>
      <c r="G520" s="18">
        <v>120878.54</v>
      </c>
      <c r="H520" s="18">
        <v>61940.75</v>
      </c>
      <c r="I520" s="18">
        <v>3943.88</v>
      </c>
      <c r="J520" s="18">
        <v>38876.6</v>
      </c>
      <c r="K520" s="18">
        <v>4709.0600000000004</v>
      </c>
      <c r="L520" s="88">
        <f>SUM(F520:K520)</f>
        <v>726434.97000000009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432682.01</v>
      </c>
      <c r="G521" s="18">
        <v>125933.09</v>
      </c>
      <c r="H521" s="18">
        <v>182431.29</v>
      </c>
      <c r="I521" s="18">
        <v>3916.76</v>
      </c>
      <c r="J521" s="18">
        <v>20133.43</v>
      </c>
      <c r="K521" s="18">
        <v>3961.77</v>
      </c>
      <c r="L521" s="88">
        <f>SUM(F521:K521)</f>
        <v>769058.35000000009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311389.09999999998</v>
      </c>
      <c r="G522" s="18">
        <v>89849.33</v>
      </c>
      <c r="H522" s="18">
        <v>551919.63</v>
      </c>
      <c r="I522" s="18">
        <v>605.51</v>
      </c>
      <c r="J522" s="18">
        <v>7218.58</v>
      </c>
      <c r="K522" s="18">
        <v>3082.15</v>
      </c>
      <c r="L522" s="88">
        <f>SUM(F522:K522)</f>
        <v>964064.3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1240157.25</v>
      </c>
      <c r="G523" s="108">
        <f t="shared" ref="G523:L523" si="36">SUM(G520:G522)</f>
        <v>336660.96</v>
      </c>
      <c r="H523" s="108">
        <f t="shared" si="36"/>
        <v>796291.67</v>
      </c>
      <c r="I523" s="108">
        <f t="shared" si="36"/>
        <v>8466.15</v>
      </c>
      <c r="J523" s="108">
        <f t="shared" si="36"/>
        <v>66228.61</v>
      </c>
      <c r="K523" s="108">
        <f t="shared" si="36"/>
        <v>11752.98</v>
      </c>
      <c r="L523" s="89">
        <f t="shared" si="36"/>
        <v>2459557.62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112175.39</v>
      </c>
      <c r="G525" s="18">
        <v>44445.03</v>
      </c>
      <c r="H525" s="18">
        <v>17758</v>
      </c>
      <c r="I525" s="18">
        <v>660.67</v>
      </c>
      <c r="J525" s="18">
        <v>0</v>
      </c>
      <c r="K525" s="18">
        <v>0</v>
      </c>
      <c r="L525" s="88">
        <f>SUM(F525:K525)</f>
        <v>175039.09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122587.4</v>
      </c>
      <c r="G526" s="18">
        <v>48570.38</v>
      </c>
      <c r="H526" s="18">
        <v>19406.28</v>
      </c>
      <c r="I526" s="18">
        <v>721.99</v>
      </c>
      <c r="J526" s="18">
        <v>0</v>
      </c>
      <c r="K526" s="18">
        <v>0</v>
      </c>
      <c r="L526" s="88">
        <f>SUM(F526:K526)</f>
        <v>191286.05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116994.46</v>
      </c>
      <c r="G527" s="18">
        <v>46354.400000000001</v>
      </c>
      <c r="H527" s="18">
        <v>18520.88</v>
      </c>
      <c r="I527" s="18">
        <v>689.05</v>
      </c>
      <c r="J527" s="18">
        <v>0</v>
      </c>
      <c r="K527" s="18">
        <v>0</v>
      </c>
      <c r="L527" s="88">
        <f>SUM(F527:K527)</f>
        <v>182558.79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351757.25</v>
      </c>
      <c r="G528" s="89">
        <f t="shared" ref="G528:L528" si="37">SUM(G525:G527)</f>
        <v>139369.81</v>
      </c>
      <c r="H528" s="89">
        <f t="shared" si="37"/>
        <v>55685.16</v>
      </c>
      <c r="I528" s="89">
        <f t="shared" si="37"/>
        <v>2071.71</v>
      </c>
      <c r="J528" s="89">
        <f t="shared" si="37"/>
        <v>0</v>
      </c>
      <c r="K528" s="89">
        <f t="shared" si="37"/>
        <v>0</v>
      </c>
      <c r="L528" s="89">
        <f t="shared" si="37"/>
        <v>548883.93000000005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56004</v>
      </c>
      <c r="G530" s="18">
        <v>21842.26</v>
      </c>
      <c r="H530" s="18">
        <v>11388.6</v>
      </c>
      <c r="I530" s="18">
        <v>162.41</v>
      </c>
      <c r="J530" s="18">
        <v>0</v>
      </c>
      <c r="K530" s="18">
        <v>588.55999999999995</v>
      </c>
      <c r="L530" s="88">
        <f>SUM(F530:K530)</f>
        <v>89985.83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48003.43</v>
      </c>
      <c r="G531" s="18">
        <v>18721.939999999999</v>
      </c>
      <c r="H531" s="18">
        <v>9761.66</v>
      </c>
      <c r="I531" s="18">
        <v>139.21</v>
      </c>
      <c r="J531" s="18">
        <v>0</v>
      </c>
      <c r="K531" s="18">
        <v>504.48</v>
      </c>
      <c r="L531" s="88">
        <f>SUM(F531:K531)</f>
        <v>77130.720000000001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37345.43</v>
      </c>
      <c r="G532" s="18">
        <v>14565.18</v>
      </c>
      <c r="H532" s="18">
        <v>7594.32</v>
      </c>
      <c r="I532" s="18">
        <v>108.3</v>
      </c>
      <c r="J532" s="18">
        <v>0</v>
      </c>
      <c r="K532" s="18">
        <v>392.47</v>
      </c>
      <c r="L532" s="88">
        <f>SUM(F532:K532)</f>
        <v>60005.700000000004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141352.85999999999</v>
      </c>
      <c r="G533" s="89">
        <f t="shared" ref="G533:L533" si="38">SUM(G530:G532)</f>
        <v>55129.38</v>
      </c>
      <c r="H533" s="89">
        <f t="shared" si="38"/>
        <v>28744.58</v>
      </c>
      <c r="I533" s="89">
        <f t="shared" si="38"/>
        <v>409.92</v>
      </c>
      <c r="J533" s="89">
        <f t="shared" si="38"/>
        <v>0</v>
      </c>
      <c r="K533" s="89">
        <f t="shared" si="38"/>
        <v>1485.51</v>
      </c>
      <c r="L533" s="89">
        <f t="shared" si="38"/>
        <v>227122.25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>
        <v>0</v>
      </c>
      <c r="G535" s="18">
        <v>0</v>
      </c>
      <c r="H535" s="18">
        <v>6123.12</v>
      </c>
      <c r="I535" s="18">
        <v>0</v>
      </c>
      <c r="J535" s="18">
        <v>0</v>
      </c>
      <c r="K535" s="18">
        <v>0</v>
      </c>
      <c r="L535" s="88">
        <f>SUM(F535:K535)</f>
        <v>6123.12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>
        <v>0</v>
      </c>
      <c r="G536" s="18">
        <v>0</v>
      </c>
      <c r="H536" s="18">
        <v>5248.39</v>
      </c>
      <c r="I536" s="18">
        <v>0</v>
      </c>
      <c r="J536" s="18">
        <v>0</v>
      </c>
      <c r="K536" s="18">
        <v>0</v>
      </c>
      <c r="L536" s="88">
        <f>SUM(F536:K536)</f>
        <v>5248.39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>
        <v>0</v>
      </c>
      <c r="G537" s="18">
        <v>0</v>
      </c>
      <c r="H537" s="18">
        <v>4082.08</v>
      </c>
      <c r="I537" s="18">
        <v>0</v>
      </c>
      <c r="J537" s="18">
        <v>0</v>
      </c>
      <c r="K537" s="18">
        <v>0</v>
      </c>
      <c r="L537" s="88">
        <f>SUM(F537:K537)</f>
        <v>4082.08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15453.59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15453.59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0</v>
      </c>
      <c r="G540" s="18">
        <v>0</v>
      </c>
      <c r="H540" s="18">
        <v>46960.58</v>
      </c>
      <c r="I540" s="18">
        <v>0</v>
      </c>
      <c r="J540" s="18">
        <v>0</v>
      </c>
      <c r="K540" s="18">
        <v>0</v>
      </c>
      <c r="L540" s="88">
        <f>SUM(F540:K540)</f>
        <v>46960.58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0</v>
      </c>
      <c r="G541" s="18">
        <v>0</v>
      </c>
      <c r="H541" s="18">
        <v>56352.7</v>
      </c>
      <c r="I541" s="18">
        <v>0</v>
      </c>
      <c r="J541" s="18">
        <v>0</v>
      </c>
      <c r="K541" s="18">
        <v>0</v>
      </c>
      <c r="L541" s="88">
        <f>SUM(F541:K541)</f>
        <v>56352.7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0</v>
      </c>
      <c r="G542" s="18">
        <v>0</v>
      </c>
      <c r="H542" s="18">
        <v>84529.05</v>
      </c>
      <c r="I542" s="18">
        <v>0</v>
      </c>
      <c r="J542" s="18">
        <v>0</v>
      </c>
      <c r="K542" s="18">
        <v>0</v>
      </c>
      <c r="L542" s="88">
        <f>SUM(F542:K542)</f>
        <v>84529.05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187842.33000000002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187842.33000000002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1733267.3599999999</v>
      </c>
      <c r="G544" s="89">
        <f t="shared" ref="G544:L544" si="41">G523+G528+G533+G538+G543</f>
        <v>531160.15</v>
      </c>
      <c r="H544" s="89">
        <f t="shared" si="41"/>
        <v>1084017.33</v>
      </c>
      <c r="I544" s="89">
        <f t="shared" si="41"/>
        <v>10947.78</v>
      </c>
      <c r="J544" s="89">
        <f t="shared" si="41"/>
        <v>66228.61</v>
      </c>
      <c r="K544" s="89">
        <f t="shared" si="41"/>
        <v>13238.49</v>
      </c>
      <c r="L544" s="89">
        <f t="shared" si="41"/>
        <v>3438859.72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726434.97000000009</v>
      </c>
      <c r="G548" s="87">
        <f>L525</f>
        <v>175039.09</v>
      </c>
      <c r="H548" s="87">
        <f>L530</f>
        <v>89985.83</v>
      </c>
      <c r="I548" s="87">
        <f>L535</f>
        <v>6123.12</v>
      </c>
      <c r="J548" s="87">
        <f>L540</f>
        <v>46960.58</v>
      </c>
      <c r="K548" s="87">
        <f>SUM(F548:J548)</f>
        <v>1044543.59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769058.35000000009</v>
      </c>
      <c r="G549" s="87">
        <f>L526</f>
        <v>191286.05</v>
      </c>
      <c r="H549" s="87">
        <f>L531</f>
        <v>77130.720000000001</v>
      </c>
      <c r="I549" s="87">
        <f>L536</f>
        <v>5248.39</v>
      </c>
      <c r="J549" s="87">
        <f>L541</f>
        <v>56352.7</v>
      </c>
      <c r="K549" s="87">
        <f>SUM(F549:J549)</f>
        <v>1099076.2100000002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964064.3</v>
      </c>
      <c r="G550" s="87">
        <f>L527</f>
        <v>182558.79</v>
      </c>
      <c r="H550" s="87">
        <f>L532</f>
        <v>60005.700000000004</v>
      </c>
      <c r="I550" s="87">
        <f>L537</f>
        <v>4082.08</v>
      </c>
      <c r="J550" s="87">
        <f>L542</f>
        <v>84529.05</v>
      </c>
      <c r="K550" s="87">
        <f>SUM(F550:J550)</f>
        <v>1295239.9200000002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2459557.62</v>
      </c>
      <c r="G551" s="89">
        <f t="shared" si="42"/>
        <v>548883.93000000005</v>
      </c>
      <c r="H551" s="89">
        <f t="shared" si="42"/>
        <v>227122.25</v>
      </c>
      <c r="I551" s="89">
        <f t="shared" si="42"/>
        <v>15453.59</v>
      </c>
      <c r="J551" s="89">
        <f t="shared" si="42"/>
        <v>187842.33000000002</v>
      </c>
      <c r="K551" s="89">
        <f t="shared" si="42"/>
        <v>3438859.7200000007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1608.25</v>
      </c>
      <c r="G561" s="18">
        <v>137.66999999999999</v>
      </c>
      <c r="H561" s="18">
        <v>738</v>
      </c>
      <c r="I561" s="18">
        <v>0</v>
      </c>
      <c r="J561" s="18">
        <v>0</v>
      </c>
      <c r="K561" s="18">
        <v>0</v>
      </c>
      <c r="L561" s="88">
        <f>SUM(F561:K561)</f>
        <v>2483.92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9649.5</v>
      </c>
      <c r="G562" s="18">
        <v>826</v>
      </c>
      <c r="H562" s="18">
        <v>461.25</v>
      </c>
      <c r="I562" s="18">
        <v>0</v>
      </c>
      <c r="J562" s="18">
        <v>0</v>
      </c>
      <c r="K562" s="18">
        <v>0</v>
      </c>
      <c r="L562" s="88">
        <f>SUM(F562:K562)</f>
        <v>10936.75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4824.75</v>
      </c>
      <c r="G563" s="18">
        <v>413</v>
      </c>
      <c r="H563" s="18">
        <v>645.75</v>
      </c>
      <c r="I563" s="18">
        <v>0</v>
      </c>
      <c r="J563" s="18">
        <v>0</v>
      </c>
      <c r="K563" s="18">
        <v>0</v>
      </c>
      <c r="L563" s="88">
        <f>SUM(F563:K563)</f>
        <v>5883.5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16082.5</v>
      </c>
      <c r="G564" s="89">
        <f t="shared" si="44"/>
        <v>1376.67</v>
      </c>
      <c r="H564" s="89">
        <f t="shared" si="44"/>
        <v>1845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19304.169999999998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16082.5</v>
      </c>
      <c r="G570" s="89">
        <f t="shared" ref="G570:L570" si="46">G559+G564+G569</f>
        <v>1376.67</v>
      </c>
      <c r="H570" s="89">
        <f t="shared" si="46"/>
        <v>1845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19304.169999999998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0</v>
      </c>
      <c r="G574" s="18">
        <v>0</v>
      </c>
      <c r="H574" s="18">
        <v>7215.25</v>
      </c>
      <c r="I574" s="87">
        <f>SUM(F574:H574)</f>
        <v>7215.25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0</v>
      </c>
      <c r="G582" s="18">
        <v>129085.36</v>
      </c>
      <c r="H582" s="18">
        <v>510606.41</v>
      </c>
      <c r="I582" s="87">
        <f t="shared" si="47"/>
        <v>639691.77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>
        <v>0</v>
      </c>
      <c r="G583" s="18">
        <v>0</v>
      </c>
      <c r="H583" s="18">
        <v>27953.119999999999</v>
      </c>
      <c r="I583" s="87">
        <f t="shared" si="47"/>
        <v>27953.119999999999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143217.78</v>
      </c>
      <c r="I590" s="18">
        <v>143217.78</v>
      </c>
      <c r="J590" s="18">
        <v>114622.34</v>
      </c>
      <c r="K590" s="104">
        <f t="shared" ref="K590:K596" si="48">SUM(H590:J590)</f>
        <v>401057.9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46960.58</v>
      </c>
      <c r="I591" s="18">
        <v>56352.7</v>
      </c>
      <c r="J591" s="18">
        <v>84529.05</v>
      </c>
      <c r="K591" s="104">
        <f t="shared" si="48"/>
        <v>187842.33000000002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>
        <v>0</v>
      </c>
      <c r="J592" s="18">
        <v>40870.1</v>
      </c>
      <c r="K592" s="104">
        <f t="shared" si="48"/>
        <v>40870.1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0</v>
      </c>
      <c r="I593" s="18">
        <v>9761.99</v>
      </c>
      <c r="J593" s="18">
        <v>43123.02</v>
      </c>
      <c r="K593" s="104">
        <f t="shared" si="48"/>
        <v>52885.009999999995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1446.18</v>
      </c>
      <c r="I594" s="18">
        <v>1972.06</v>
      </c>
      <c r="J594" s="18">
        <v>6938.27</v>
      </c>
      <c r="K594" s="104">
        <f t="shared" si="48"/>
        <v>10356.51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191624.53999999998</v>
      </c>
      <c r="I597" s="108">
        <f>SUM(I590:I596)</f>
        <v>211304.52999999997</v>
      </c>
      <c r="J597" s="108">
        <f>SUM(J590:J596)</f>
        <v>290082.78000000003</v>
      </c>
      <c r="K597" s="108">
        <f>SUM(K590:K596)</f>
        <v>693011.85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53675.66</v>
      </c>
      <c r="I603" s="18">
        <v>28813.599999999999</v>
      </c>
      <c r="J603" s="18">
        <v>62983.66</v>
      </c>
      <c r="K603" s="104">
        <f>SUM(H603:J603)</f>
        <v>145472.92000000001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53675.66</v>
      </c>
      <c r="I604" s="108">
        <f>SUM(I601:I603)</f>
        <v>28813.599999999999</v>
      </c>
      <c r="J604" s="108">
        <f>SUM(J601:J603)</f>
        <v>62983.66</v>
      </c>
      <c r="K604" s="108">
        <f>SUM(K601:K603)</f>
        <v>145472.92000000001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30247.56</v>
      </c>
      <c r="G610" s="18">
        <v>2268.6999999999998</v>
      </c>
      <c r="H610" s="18">
        <v>0</v>
      </c>
      <c r="I610" s="18">
        <v>0</v>
      </c>
      <c r="J610" s="18">
        <v>0</v>
      </c>
      <c r="K610" s="18">
        <v>0</v>
      </c>
      <c r="L610" s="88">
        <f>SUM(F610:K610)</f>
        <v>32516.260000000002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20634.11</v>
      </c>
      <c r="G611" s="18">
        <v>3255.87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23889.98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11259.1</v>
      </c>
      <c r="G612" s="18">
        <v>2353.23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13612.33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62140.77</v>
      </c>
      <c r="G613" s="108">
        <f t="shared" si="49"/>
        <v>7877.7999999999993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70018.570000000007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1244672.6599999999</v>
      </c>
      <c r="H616" s="109">
        <f>SUM(F51)</f>
        <v>1244672.6600000001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89983.85</v>
      </c>
      <c r="H617" s="109">
        <f>SUM(G51)</f>
        <v>89983.85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129178.39</v>
      </c>
      <c r="H618" s="109">
        <f>SUM(H51)</f>
        <v>129178.39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155700.57999999999</v>
      </c>
      <c r="H620" s="109">
        <f>SUM(J51)</f>
        <v>155700.57999999999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614083.27</v>
      </c>
      <c r="H621" s="109">
        <f>F475</f>
        <v>614083.27000000328</v>
      </c>
      <c r="I621" s="121" t="s">
        <v>101</v>
      </c>
      <c r="J621" s="109">
        <f t="shared" ref="J621:J654" si="50">G621-H621</f>
        <v>-3.2596290111541748E-9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78435.19</v>
      </c>
      <c r="H622" s="109">
        <f>G475</f>
        <v>78435.189999999944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155700.57999999999</v>
      </c>
      <c r="H625" s="109">
        <f>J475</f>
        <v>155700.57999999999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18238371.509999998</v>
      </c>
      <c r="H626" s="104">
        <f>SUM(F467)</f>
        <v>18238371.510000002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538485.6</v>
      </c>
      <c r="H627" s="104">
        <f>SUM(G467)</f>
        <v>538485.6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602354.5</v>
      </c>
      <c r="H628" s="104">
        <f>SUM(H467)</f>
        <v>602354.5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1204.06</v>
      </c>
      <c r="H630" s="104">
        <f>SUM(J467)</f>
        <v>1204.06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18625245.838</v>
      </c>
      <c r="H631" s="104">
        <f>SUM(F471)</f>
        <v>18625245.84</v>
      </c>
      <c r="I631" s="140" t="s">
        <v>111</v>
      </c>
      <c r="J631" s="109">
        <f t="shared" si="50"/>
        <v>-2.0000003278255463E-3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602354.5</v>
      </c>
      <c r="H632" s="104">
        <f>SUM(H471)</f>
        <v>602354.5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293069.74</v>
      </c>
      <c r="H633" s="104">
        <f>I368</f>
        <v>293069.74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553657.52</v>
      </c>
      <c r="H634" s="104">
        <f>SUM(G471)</f>
        <v>553657.52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1204.06</v>
      </c>
      <c r="H636" s="164">
        <f>SUM(J467)</f>
        <v>1204.06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155700.57999999999</v>
      </c>
      <c r="H639" s="104">
        <f>SUM(G460)</f>
        <v>155700.57999999999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155700.57999999999</v>
      </c>
      <c r="H641" s="104">
        <f>SUM(I460)</f>
        <v>155700.57999999999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1204.06</v>
      </c>
      <c r="H643" s="104">
        <f>H407</f>
        <v>1204.06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1204.06</v>
      </c>
      <c r="H645" s="104">
        <f>L407</f>
        <v>1204.06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693011.85</v>
      </c>
      <c r="H646" s="104">
        <f>L207+L225+L243</f>
        <v>693011.85000000009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145472.92000000001</v>
      </c>
      <c r="H647" s="104">
        <f>(J256+J337)-(J254+J335)</f>
        <v>145472.91999999998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191624.54</v>
      </c>
      <c r="H648" s="104">
        <f>H597</f>
        <v>191624.53999999998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211304.53</v>
      </c>
      <c r="H649" s="104">
        <f>I597</f>
        <v>211304.52999999997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290082.78000000003</v>
      </c>
      <c r="H650" s="104">
        <f>J597</f>
        <v>290082.78000000003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-2.0000040531158447E-3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5435661.3700000001</v>
      </c>
      <c r="G659" s="19">
        <f>(L228+L308+L358)</f>
        <v>5934764.2699999996</v>
      </c>
      <c r="H659" s="19">
        <f>(L246+L327+L359)</f>
        <v>7176434.2479999997</v>
      </c>
      <c r="I659" s="19">
        <f>SUM(F659:H659)</f>
        <v>18546859.888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101004.00152241858</v>
      </c>
      <c r="G660" s="19">
        <f>(L358/IF(SUM(L357:L359)=0,1,SUM(L357:L359))*(SUM(G96:G109)))</f>
        <v>138596.80589159339</v>
      </c>
      <c r="H660" s="19">
        <f>(L359/IF(SUM(L357:L359)=0,1,SUM(L357:L359))*(SUM(G96:G109)))</f>
        <v>185280.18258598799</v>
      </c>
      <c r="I660" s="19">
        <f>SUM(F660:H660)</f>
        <v>424880.99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191624.54</v>
      </c>
      <c r="G661" s="19">
        <f>(L225+L305)-(J225+J305)</f>
        <v>211304.53</v>
      </c>
      <c r="H661" s="19">
        <f>(L243+L324)-(J243+J324)</f>
        <v>290082.78000000003</v>
      </c>
      <c r="I661" s="19">
        <f>SUM(F661:H661)</f>
        <v>693011.85000000009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86191.920000000013</v>
      </c>
      <c r="G662" s="200">
        <f>SUM(G574:G586)+SUM(I601:I603)+L611</f>
        <v>181788.94</v>
      </c>
      <c r="H662" s="200">
        <f>SUM(H574:H586)+SUM(J601:J603)+L612</f>
        <v>622370.77</v>
      </c>
      <c r="I662" s="19">
        <f>SUM(F662:H662)</f>
        <v>890351.63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5056840.9084775811</v>
      </c>
      <c r="G663" s="19">
        <f>G659-SUM(G660:G662)</f>
        <v>5403073.9941084059</v>
      </c>
      <c r="H663" s="19">
        <f>H659-SUM(H660:H662)</f>
        <v>6078700.5154140117</v>
      </c>
      <c r="I663" s="19">
        <f>I659-SUM(I660:I662)</f>
        <v>16538615.418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460.44</v>
      </c>
      <c r="G664" s="249">
        <v>504.33</v>
      </c>
      <c r="H664" s="249">
        <v>480.98</v>
      </c>
      <c r="I664" s="19">
        <f>SUM(F664:H664)</f>
        <v>1445.75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10982.63</v>
      </c>
      <c r="G666" s="19">
        <f>ROUND(G663/G664,2)</f>
        <v>10713.37</v>
      </c>
      <c r="H666" s="19">
        <f>ROUND(H663/H664,2)</f>
        <v>12638.16</v>
      </c>
      <c r="I666" s="19">
        <f>ROUND(I663/I664,2)</f>
        <v>11439.47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-8.4700000000000006</v>
      </c>
      <c r="I669" s="19">
        <f>SUM(F669:H669)</f>
        <v>-8.4700000000000006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10982.63</v>
      </c>
      <c r="G671" s="19">
        <f>ROUND((G663+G668)/(G664+G669),2)</f>
        <v>10713.37</v>
      </c>
      <c r="H671" s="19">
        <f>ROUND((H663+H668)/(H664+H669),2)</f>
        <v>12864.7</v>
      </c>
      <c r="I671" s="19">
        <f>ROUND((I663+I668)/(I664+I669),2)</f>
        <v>11506.88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" workbookViewId="0">
      <selection activeCell="B22" sqref="B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LITCHFIELD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5372897.9199999999</v>
      </c>
      <c r="C9" s="230">
        <f>'DOE25'!G196+'DOE25'!G214+'DOE25'!G232+'DOE25'!G275+'DOE25'!G294+'DOE25'!G313</f>
        <v>2208194.3200000003</v>
      </c>
    </row>
    <row r="10" spans="1:3" x14ac:dyDescent="0.2">
      <c r="A10" t="s">
        <v>779</v>
      </c>
      <c r="B10" s="241">
        <v>5114340.5</v>
      </c>
      <c r="C10" s="241">
        <v>2185835.64</v>
      </c>
    </row>
    <row r="11" spans="1:3" x14ac:dyDescent="0.2">
      <c r="A11" t="s">
        <v>780</v>
      </c>
      <c r="B11" s="241">
        <v>111704.66</v>
      </c>
      <c r="C11" s="241">
        <v>8556.58</v>
      </c>
    </row>
    <row r="12" spans="1:3" x14ac:dyDescent="0.2">
      <c r="A12" t="s">
        <v>781</v>
      </c>
      <c r="B12" s="241">
        <v>146852.76</v>
      </c>
      <c r="C12" s="241">
        <v>13802.1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5372897.9199999999</v>
      </c>
      <c r="C13" s="232">
        <f>SUM(C10:C12)</f>
        <v>2208194.3200000003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1240157.25</v>
      </c>
      <c r="C18" s="230">
        <f>'DOE25'!G197+'DOE25'!G215+'DOE25'!G233+'DOE25'!G276+'DOE25'!G295+'DOE25'!G314</f>
        <v>336660.95</v>
      </c>
    </row>
    <row r="19" spans="1:3" x14ac:dyDescent="0.2">
      <c r="A19" t="s">
        <v>779</v>
      </c>
      <c r="B19" s="241">
        <v>605773.01</v>
      </c>
      <c r="C19" s="241">
        <v>284353.02</v>
      </c>
    </row>
    <row r="20" spans="1:3" x14ac:dyDescent="0.2">
      <c r="A20" t="s">
        <v>780</v>
      </c>
      <c r="B20" s="241">
        <v>586027.81999999995</v>
      </c>
      <c r="C20" s="241">
        <v>44889.73</v>
      </c>
    </row>
    <row r="21" spans="1:3" x14ac:dyDescent="0.2">
      <c r="A21" t="s">
        <v>781</v>
      </c>
      <c r="B21" s="241">
        <v>48356.42</v>
      </c>
      <c r="C21" s="241">
        <v>7418.2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1240157.25</v>
      </c>
      <c r="C22" s="232">
        <f>SUM(C19:C21)</f>
        <v>336660.95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257848.47999999998</v>
      </c>
      <c r="C36" s="236">
        <f>'DOE25'!G199+'DOE25'!G217+'DOE25'!G235+'DOE25'!G278+'DOE25'!G297+'DOE25'!G316</f>
        <v>60055.360000000001</v>
      </c>
    </row>
    <row r="37" spans="1:3" x14ac:dyDescent="0.2">
      <c r="A37" t="s">
        <v>779</v>
      </c>
      <c r="B37" s="241">
        <v>141816.66</v>
      </c>
      <c r="C37" s="241">
        <v>51167.32</v>
      </c>
    </row>
    <row r="38" spans="1:3" x14ac:dyDescent="0.2">
      <c r="A38" t="s">
        <v>780</v>
      </c>
      <c r="B38" s="241">
        <v>25784.85</v>
      </c>
      <c r="C38" s="241">
        <v>1975.12</v>
      </c>
    </row>
    <row r="39" spans="1:3" x14ac:dyDescent="0.2">
      <c r="A39" t="s">
        <v>781</v>
      </c>
      <c r="B39" s="241">
        <v>90246.97</v>
      </c>
      <c r="C39" s="241">
        <v>6912.92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257848.48</v>
      </c>
      <c r="C40" s="232">
        <f>SUM(C37:C39)</f>
        <v>60055.360000000001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6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LITCHFIELD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10396342.978</v>
      </c>
      <c r="D5" s="20">
        <f>SUM('DOE25'!L196:L199)+SUM('DOE25'!L214:L217)+SUM('DOE25'!L232:L235)-F5-G5</f>
        <v>10341251.060000001</v>
      </c>
      <c r="E5" s="244"/>
      <c r="F5" s="256">
        <f>SUM('DOE25'!J196:J199)+SUM('DOE25'!J214:J217)+SUM('DOE25'!J232:J235)</f>
        <v>26731.43</v>
      </c>
      <c r="G5" s="53">
        <f>SUM('DOE25'!K196:K199)+SUM('DOE25'!K214:K217)+SUM('DOE25'!K232:K235)</f>
        <v>28360.488000000001</v>
      </c>
      <c r="H5" s="260"/>
    </row>
    <row r="6" spans="1:9" x14ac:dyDescent="0.2">
      <c r="A6" s="32">
        <v>2100</v>
      </c>
      <c r="B6" t="s">
        <v>801</v>
      </c>
      <c r="C6" s="246">
        <f t="shared" si="0"/>
        <v>1410551.3599999999</v>
      </c>
      <c r="D6" s="20">
        <f>'DOE25'!L201+'DOE25'!L219+'DOE25'!L237-F6-G6</f>
        <v>1402196.16</v>
      </c>
      <c r="E6" s="244"/>
      <c r="F6" s="256">
        <f>'DOE25'!J201+'DOE25'!J219+'DOE25'!J237</f>
        <v>6675.74</v>
      </c>
      <c r="G6" s="53">
        <f>'DOE25'!K201+'DOE25'!K219+'DOE25'!K237</f>
        <v>1679.46</v>
      </c>
      <c r="H6" s="260"/>
    </row>
    <row r="7" spans="1:9" x14ac:dyDescent="0.2">
      <c r="A7" s="32">
        <v>2200</v>
      </c>
      <c r="B7" t="s">
        <v>834</v>
      </c>
      <c r="C7" s="246">
        <f t="shared" si="0"/>
        <v>439847.37000000005</v>
      </c>
      <c r="D7" s="20">
        <f>'DOE25'!L202+'DOE25'!L220+'DOE25'!L238-F7-G7</f>
        <v>423549.67000000004</v>
      </c>
      <c r="E7" s="244"/>
      <c r="F7" s="256">
        <f>'DOE25'!J202+'DOE25'!J220+'DOE25'!J238</f>
        <v>10808.7</v>
      </c>
      <c r="G7" s="53">
        <f>'DOE25'!K202+'DOE25'!K220+'DOE25'!K238</f>
        <v>5489</v>
      </c>
      <c r="H7" s="260"/>
    </row>
    <row r="8" spans="1:9" x14ac:dyDescent="0.2">
      <c r="A8" s="32">
        <v>2300</v>
      </c>
      <c r="B8" t="s">
        <v>802</v>
      </c>
      <c r="C8" s="246">
        <f t="shared" si="0"/>
        <v>227122.25999999995</v>
      </c>
      <c r="D8" s="244"/>
      <c r="E8" s="20">
        <f>'DOE25'!L203+'DOE25'!L221+'DOE25'!L239-F8-G8-D9-D11</f>
        <v>208718.99999999994</v>
      </c>
      <c r="F8" s="256">
        <f>'DOE25'!J203+'DOE25'!J221+'DOE25'!J239</f>
        <v>1800.3799999999999</v>
      </c>
      <c r="G8" s="53">
        <f>'DOE25'!K203+'DOE25'!K221+'DOE25'!K239</f>
        <v>16602.879999999997</v>
      </c>
      <c r="H8" s="260"/>
    </row>
    <row r="9" spans="1:9" x14ac:dyDescent="0.2">
      <c r="A9" s="32">
        <v>2310</v>
      </c>
      <c r="B9" t="s">
        <v>818</v>
      </c>
      <c r="C9" s="246">
        <f t="shared" si="0"/>
        <v>118499.69</v>
      </c>
      <c r="D9" s="245">
        <v>118499.69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19053</v>
      </c>
      <c r="D10" s="244"/>
      <c r="E10" s="245">
        <v>19053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304256.99</v>
      </c>
      <c r="D11" s="245">
        <v>304256.99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1159050.6599999999</v>
      </c>
      <c r="D12" s="20">
        <f>'DOE25'!L204+'DOE25'!L222+'DOE25'!L240-F12-G12</f>
        <v>1140046.3499999999</v>
      </c>
      <c r="E12" s="244"/>
      <c r="F12" s="256">
        <f>'DOE25'!J204+'DOE25'!J222+'DOE25'!J240</f>
        <v>0</v>
      </c>
      <c r="G12" s="53">
        <f>'DOE25'!K204+'DOE25'!K222+'DOE25'!K240</f>
        <v>19004.309999999998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305629.86000000004</v>
      </c>
      <c r="D13" s="244"/>
      <c r="E13" s="20">
        <f>'DOE25'!L205+'DOE25'!L223+'DOE25'!L241-F13-G13</f>
        <v>300594.78000000009</v>
      </c>
      <c r="F13" s="256">
        <f>'DOE25'!J205+'DOE25'!J223+'DOE25'!J241</f>
        <v>2702.17</v>
      </c>
      <c r="G13" s="53">
        <f>'DOE25'!K205+'DOE25'!K223+'DOE25'!K241</f>
        <v>2332.91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1874879.19</v>
      </c>
      <c r="D14" s="20">
        <f>'DOE25'!L206+'DOE25'!L224+'DOE25'!L242-F14-G14</f>
        <v>1859401.3399999999</v>
      </c>
      <c r="E14" s="244"/>
      <c r="F14" s="256">
        <f>'DOE25'!J206+'DOE25'!J224+'DOE25'!J242</f>
        <v>15292.84</v>
      </c>
      <c r="G14" s="53">
        <f>'DOE25'!K206+'DOE25'!K224+'DOE25'!K242</f>
        <v>185.01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693011.85000000009</v>
      </c>
      <c r="D15" s="20">
        <f>'DOE25'!L207+'DOE25'!L225+'DOE25'!L243-F15-G15</f>
        <v>693011.85000000009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461655.65999999992</v>
      </c>
      <c r="D16" s="244"/>
      <c r="E16" s="20">
        <f>'DOE25'!L208+'DOE25'!L226+'DOE25'!L244-F16-G16</f>
        <v>443444.80999999994</v>
      </c>
      <c r="F16" s="256">
        <f>'DOE25'!J208+'DOE25'!J226+'DOE25'!J244</f>
        <v>16756.050000000003</v>
      </c>
      <c r="G16" s="53">
        <f>'DOE25'!K208+'DOE25'!K226+'DOE25'!K244</f>
        <v>1454.8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8331.98</v>
      </c>
      <c r="D17" s="20">
        <f>'DOE25'!L250-F17-G17</f>
        <v>8331.98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247305</v>
      </c>
      <c r="D22" s="244"/>
      <c r="E22" s="244"/>
      <c r="F22" s="256">
        <f>'DOE25'!L254+'DOE25'!L335</f>
        <v>247305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951462.53</v>
      </c>
      <c r="D25" s="244"/>
      <c r="E25" s="244"/>
      <c r="F25" s="259"/>
      <c r="G25" s="257"/>
      <c r="H25" s="258">
        <f>'DOE25'!L259+'DOE25'!L260+'DOE25'!L340+'DOE25'!L341</f>
        <v>951462.53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277055.88</v>
      </c>
      <c r="D29" s="20">
        <f>'DOE25'!L357+'DOE25'!L358+'DOE25'!L359-'DOE25'!I366-F29-G29</f>
        <v>269220.36</v>
      </c>
      <c r="E29" s="244"/>
      <c r="F29" s="256">
        <f>'DOE25'!J357+'DOE25'!J358+'DOE25'!J359</f>
        <v>6341.52</v>
      </c>
      <c r="G29" s="53">
        <f>'DOE25'!K357+'DOE25'!K358+'DOE25'!K359</f>
        <v>1494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602354.5</v>
      </c>
      <c r="D31" s="20">
        <f>'DOE25'!L289+'DOE25'!L308+'DOE25'!L327+'DOE25'!L332+'DOE25'!L333+'DOE25'!L334-F31-G31</f>
        <v>533542.75</v>
      </c>
      <c r="E31" s="244"/>
      <c r="F31" s="256">
        <f>'DOE25'!J289+'DOE25'!J308+'DOE25'!J327+'DOE25'!J332+'DOE25'!J333+'DOE25'!J334</f>
        <v>64705.61</v>
      </c>
      <c r="G31" s="53">
        <f>'DOE25'!K289+'DOE25'!K308+'DOE25'!K327+'DOE25'!K332+'DOE25'!K333+'DOE25'!K334</f>
        <v>4106.1400000000003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17093308.199999999</v>
      </c>
      <c r="E33" s="247">
        <f>SUM(E5:E31)</f>
        <v>971811.59</v>
      </c>
      <c r="F33" s="247">
        <f>SUM(F5:F31)</f>
        <v>399119.44</v>
      </c>
      <c r="G33" s="247">
        <f>SUM(G5:G31)</f>
        <v>80708.998000000007</v>
      </c>
      <c r="H33" s="247">
        <f>SUM(H5:H31)</f>
        <v>951462.53</v>
      </c>
    </row>
    <row r="35" spans="2:8" ht="12" thickBot="1" x14ac:dyDescent="0.25">
      <c r="B35" s="254" t="s">
        <v>847</v>
      </c>
      <c r="D35" s="255">
        <f>E33</f>
        <v>971811.59</v>
      </c>
      <c r="E35" s="250"/>
    </row>
    <row r="36" spans="2:8" ht="12" thickTop="1" x14ac:dyDescent="0.2">
      <c r="B36" t="s">
        <v>815</v>
      </c>
      <c r="D36" s="20">
        <f>D33</f>
        <v>17093308.199999999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03" activePane="bottomLeft" state="frozen"/>
      <selection pane="bottomLeft" activeCell="K124" sqref="K12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LITCHFIELD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1126525.82</v>
      </c>
      <c r="D8" s="95">
        <f>'DOE25'!G9</f>
        <v>85649.27</v>
      </c>
      <c r="E8" s="95">
        <f>'DOE25'!H9</f>
        <v>0</v>
      </c>
      <c r="F8" s="95">
        <f>'DOE25'!I9</f>
        <v>0</v>
      </c>
      <c r="G8" s="95">
        <f>'DOE25'!J9</f>
        <v>155700.57999999999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95559.39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1514.65</v>
      </c>
      <c r="D12" s="95">
        <f>'DOE25'!G13</f>
        <v>3985.85</v>
      </c>
      <c r="E12" s="95">
        <f>'DOE25'!H13</f>
        <v>129178.39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21072.799999999999</v>
      </c>
      <c r="D13" s="95">
        <f>'DOE25'!G14</f>
        <v>348.73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1244672.6599999999</v>
      </c>
      <c r="D18" s="41">
        <f>SUM(D8:D17)</f>
        <v>89983.85</v>
      </c>
      <c r="E18" s="41">
        <f>SUM(E8:E17)</f>
        <v>129178.39</v>
      </c>
      <c r="F18" s="41">
        <f>SUM(F8:F17)</f>
        <v>0</v>
      </c>
      <c r="G18" s="41">
        <f>SUM(G8:G17)</f>
        <v>155700.57999999999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95559.39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49015.02</v>
      </c>
      <c r="D23" s="95">
        <f>'DOE25'!G24</f>
        <v>1822.48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47953.49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533180.88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440</v>
      </c>
      <c r="D29" s="95">
        <f>'DOE25'!G30</f>
        <v>9726.18</v>
      </c>
      <c r="E29" s="95">
        <f>'DOE25'!H30</f>
        <v>33619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630589.39</v>
      </c>
      <c r="D31" s="41">
        <f>SUM(D21:D30)</f>
        <v>11548.66</v>
      </c>
      <c r="E31" s="41">
        <f>SUM(E21:E30)</f>
        <v>129178.39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78435.19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155700.57999999999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221588.88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392494.39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614083.27</v>
      </c>
      <c r="D49" s="41">
        <f>SUM(D34:D48)</f>
        <v>78435.19</v>
      </c>
      <c r="E49" s="41">
        <f>SUM(E34:E48)</f>
        <v>0</v>
      </c>
      <c r="F49" s="41">
        <f>SUM(F34:F48)</f>
        <v>0</v>
      </c>
      <c r="G49" s="41">
        <f>SUM(G34:G48)</f>
        <v>155700.57999999999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1244672.6600000001</v>
      </c>
      <c r="D50" s="41">
        <f>D49+D31</f>
        <v>89983.85</v>
      </c>
      <c r="E50" s="41">
        <f>E49+E31</f>
        <v>129178.39</v>
      </c>
      <c r="F50" s="41">
        <f>F49+F31</f>
        <v>0</v>
      </c>
      <c r="G50" s="41">
        <f>G49+G31</f>
        <v>155700.57999999999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9006079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49977.64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12646.57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1787.38</v>
      </c>
      <c r="D58" s="95">
        <f>'DOE25'!G95</f>
        <v>30.09</v>
      </c>
      <c r="E58" s="95">
        <f>'DOE25'!H95</f>
        <v>0</v>
      </c>
      <c r="F58" s="95">
        <f>'DOE25'!I95</f>
        <v>0</v>
      </c>
      <c r="G58" s="95">
        <f>'DOE25'!J95</f>
        <v>1204.06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415262.19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356813.15</v>
      </c>
      <c r="D60" s="95">
        <f>SUM('DOE25'!G97:G109)</f>
        <v>9618.7999999999993</v>
      </c>
      <c r="E60" s="95">
        <f>SUM('DOE25'!H97:H109)</f>
        <v>7661.24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421224.74</v>
      </c>
      <c r="D61" s="130">
        <f>SUM(D56:D60)</f>
        <v>424911.08</v>
      </c>
      <c r="E61" s="130">
        <f>SUM(E56:E60)</f>
        <v>7661.24</v>
      </c>
      <c r="F61" s="130">
        <f>SUM(F56:F60)</f>
        <v>0</v>
      </c>
      <c r="G61" s="130">
        <f>SUM(G56:G60)</f>
        <v>1204.06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9427303.7400000002</v>
      </c>
      <c r="D62" s="22">
        <f>D55+D61</f>
        <v>424911.08</v>
      </c>
      <c r="E62" s="22">
        <f>E55+E61</f>
        <v>7661.24</v>
      </c>
      <c r="F62" s="22">
        <f>F55+F61</f>
        <v>0</v>
      </c>
      <c r="G62" s="22">
        <f>G55+G61</f>
        <v>1204.06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6142361.0499999998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1749516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5321.95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7897199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260786.84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100279.32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110400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155070.07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3217.39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5691.85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629753.62</v>
      </c>
      <c r="D77" s="130">
        <f>SUM(D71:D76)</f>
        <v>5691.85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8526952.6199999992</v>
      </c>
      <c r="D80" s="130">
        <f>SUM(D78:D79)+D77+D69</f>
        <v>5691.85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382513.81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284115.15000000002</v>
      </c>
      <c r="D87" s="95">
        <f>SUM('DOE25'!G152:G160)</f>
        <v>107882.67</v>
      </c>
      <c r="E87" s="95">
        <f>SUM('DOE25'!H152:H160)</f>
        <v>212179.45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284115.15000000002</v>
      </c>
      <c r="D90" s="131">
        <f>SUM(D84:D89)</f>
        <v>107882.67</v>
      </c>
      <c r="E90" s="131">
        <f>SUM(E84:E89)</f>
        <v>594693.26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18238371.509999998</v>
      </c>
      <c r="D103" s="86">
        <f>D62+D80+D90+D102</f>
        <v>538485.6</v>
      </c>
      <c r="E103" s="86">
        <f>E62+E80+E90+E102</f>
        <v>602354.5</v>
      </c>
      <c r="F103" s="86">
        <f>F62+F80+F90+F102</f>
        <v>0</v>
      </c>
      <c r="G103" s="86">
        <f>G62+G80+G102</f>
        <v>1204.06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7738256.3399999999</v>
      </c>
      <c r="D108" s="24" t="s">
        <v>289</v>
      </c>
      <c r="E108" s="95">
        <f>('DOE25'!L275)+('DOE25'!L294)+('DOE25'!L313)</f>
        <v>212759.18000000002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2188186.8480000002</v>
      </c>
      <c r="D109" s="24" t="s">
        <v>289</v>
      </c>
      <c r="E109" s="95">
        <f>('DOE25'!L276)+('DOE25'!L295)+('DOE25'!L314)</f>
        <v>287314.88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27953.119999999999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441946.66999999993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27298.46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8331.98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10431973.418000001</v>
      </c>
      <c r="D114" s="86">
        <f>SUM(D108:D113)</f>
        <v>0</v>
      </c>
      <c r="E114" s="86">
        <f>SUM(E108:E113)</f>
        <v>500074.06000000006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1410551.3599999999</v>
      </c>
      <c r="D117" s="24" t="s">
        <v>289</v>
      </c>
      <c r="E117" s="95">
        <f>+('DOE25'!L280)+('DOE25'!L299)+('DOE25'!L318)</f>
        <v>95624.890000000014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439847.37000000005</v>
      </c>
      <c r="D118" s="24" t="s">
        <v>289</v>
      </c>
      <c r="E118" s="95">
        <f>+('DOE25'!L281)+('DOE25'!L300)+('DOE25'!L319)</f>
        <v>5549.41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649878.93999999994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1159050.6599999999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305629.86000000004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1874879.19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693011.85000000009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461655.65999999992</v>
      </c>
      <c r="D124" s="24" t="s">
        <v>289</v>
      </c>
      <c r="E124" s="95">
        <f>+('DOE25'!L287)+('DOE25'!L306)+('DOE25'!L325)</f>
        <v>1106.1399999999999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553657.52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6994504.8900000006</v>
      </c>
      <c r="D127" s="86">
        <f>SUM(D117:D126)</f>
        <v>553657.52</v>
      </c>
      <c r="E127" s="86">
        <f>SUM(E117:E126)</f>
        <v>102280.44000000002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247305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800000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151462.53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1204.06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-1204.06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1198767.53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18625245.838000003</v>
      </c>
      <c r="D144" s="86">
        <f>(D114+D127+D143)</f>
        <v>553657.52</v>
      </c>
      <c r="E144" s="86">
        <f>(E114+E127+E143)</f>
        <v>602354.50000000012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08/2000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02/2015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11685000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5.14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2885000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2885000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800000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800000</v>
      </c>
    </row>
    <row r="158" spans="1:9" x14ac:dyDescent="0.2">
      <c r="A158" s="22" t="s">
        <v>35</v>
      </c>
      <c r="B158" s="137">
        <f>'DOE25'!F497</f>
        <v>2085000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2085000</v>
      </c>
    </row>
    <row r="159" spans="1:9" x14ac:dyDescent="0.2">
      <c r="A159" s="22" t="s">
        <v>36</v>
      </c>
      <c r="B159" s="137">
        <f>'DOE25'!F498</f>
        <v>202387.5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202387.5</v>
      </c>
    </row>
    <row r="160" spans="1:9" x14ac:dyDescent="0.2">
      <c r="A160" s="22" t="s">
        <v>37</v>
      </c>
      <c r="B160" s="137">
        <f>'DOE25'!F499</f>
        <v>2287387.5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2287387.5</v>
      </c>
    </row>
    <row r="161" spans="1:7" x14ac:dyDescent="0.2">
      <c r="A161" s="22" t="s">
        <v>38</v>
      </c>
      <c r="B161" s="137">
        <f>'DOE25'!F500</f>
        <v>800000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800000</v>
      </c>
    </row>
    <row r="162" spans="1:7" x14ac:dyDescent="0.2">
      <c r="A162" s="22" t="s">
        <v>39</v>
      </c>
      <c r="B162" s="137">
        <f>'DOE25'!F501</f>
        <v>109462.5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109462.5</v>
      </c>
    </row>
    <row r="163" spans="1:7" x14ac:dyDescent="0.2">
      <c r="A163" s="22" t="s">
        <v>246</v>
      </c>
      <c r="B163" s="137">
        <f>'DOE25'!F502</f>
        <v>909462.5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909462.5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LITCHFIELD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10983</v>
      </c>
    </row>
    <row r="5" spans="1:4" x14ac:dyDescent="0.2">
      <c r="B5" t="s">
        <v>704</v>
      </c>
      <c r="C5" s="179">
        <f>IF('DOE25'!G664+'DOE25'!G669=0,0,ROUND('DOE25'!G671,0))</f>
        <v>10713</v>
      </c>
    </row>
    <row r="6" spans="1:4" x14ac:dyDescent="0.2">
      <c r="B6" t="s">
        <v>62</v>
      </c>
      <c r="C6" s="179">
        <f>IF('DOE25'!H664+'DOE25'!H669=0,0,ROUND('DOE25'!H671,0))</f>
        <v>12865</v>
      </c>
    </row>
    <row r="7" spans="1:4" x14ac:dyDescent="0.2">
      <c r="B7" t="s">
        <v>705</v>
      </c>
      <c r="C7" s="179">
        <f>IF('DOE25'!I664+'DOE25'!I669=0,0,ROUND('DOE25'!I671,0))</f>
        <v>11507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7951016</v>
      </c>
      <c r="D10" s="182">
        <f>ROUND((C10/$C$28)*100,1)</f>
        <v>43.4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2475502</v>
      </c>
      <c r="D11" s="182">
        <f>ROUND((C11/$C$28)*100,1)</f>
        <v>13.5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27953</v>
      </c>
      <c r="D12" s="182">
        <f>ROUND((C12/$C$28)*100,1)</f>
        <v>0.2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441947</v>
      </c>
      <c r="D13" s="182">
        <f>ROUND((C13/$C$28)*100,1)</f>
        <v>2.4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1506176</v>
      </c>
      <c r="D15" s="182">
        <f t="shared" ref="D15:D27" si="0">ROUND((C15/$C$28)*100,1)</f>
        <v>8.1999999999999993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445397</v>
      </c>
      <c r="D16" s="182">
        <f t="shared" si="0"/>
        <v>2.4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1112641</v>
      </c>
      <c r="D17" s="182">
        <f t="shared" si="0"/>
        <v>6.1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1159051</v>
      </c>
      <c r="D18" s="182">
        <f t="shared" si="0"/>
        <v>6.3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305630</v>
      </c>
      <c r="D19" s="182">
        <f t="shared" si="0"/>
        <v>1.7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1874879</v>
      </c>
      <c r="D20" s="182">
        <f t="shared" si="0"/>
        <v>10.199999999999999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693012</v>
      </c>
      <c r="D21" s="182">
        <f t="shared" si="0"/>
        <v>3.8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27298</v>
      </c>
      <c r="D23" s="182">
        <f t="shared" si="0"/>
        <v>0.1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8332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151463</v>
      </c>
      <c r="D25" s="182">
        <f t="shared" si="0"/>
        <v>0.8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128777.01000000001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18309074.010000002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247305</v>
      </c>
    </row>
    <row r="30" spans="1:4" x14ac:dyDescent="0.2">
      <c r="B30" s="187" t="s">
        <v>729</v>
      </c>
      <c r="C30" s="180">
        <f>SUM(C28:C29)</f>
        <v>18556379.010000002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800000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9006079</v>
      </c>
      <c r="D35" s="182">
        <f t="shared" ref="D35:D40" si="1">ROUND((C35/$C$41)*100,1)</f>
        <v>47.5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430120.13000000082</v>
      </c>
      <c r="D36" s="182">
        <f t="shared" si="1"/>
        <v>2.2999999999999998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7897199</v>
      </c>
      <c r="D37" s="182">
        <f t="shared" si="1"/>
        <v>41.7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635445</v>
      </c>
      <c r="D38" s="182">
        <f t="shared" si="1"/>
        <v>3.4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986691</v>
      </c>
      <c r="D39" s="182">
        <f t="shared" si="1"/>
        <v>5.2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18955534.130000003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6" t="s">
        <v>767</v>
      </c>
      <c r="B2" s="297"/>
      <c r="C2" s="297"/>
      <c r="D2" s="297"/>
      <c r="E2" s="297"/>
      <c r="F2" s="290" t="str">
        <f>'DOE25'!A2</f>
        <v>LITCHFIELD SCHOOL DISTRICT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2012-10-19T16:57:51Z</cp:lastPrinted>
  <dcterms:created xsi:type="dcterms:W3CDTF">1997-12-04T19:04:30Z</dcterms:created>
  <dcterms:modified xsi:type="dcterms:W3CDTF">2012-11-21T14:57:09Z</dcterms:modified>
</cp:coreProperties>
</file>