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-15" yWindow="-15" windowWidth="18570" windowHeight="106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71" i="1" l="1"/>
  <c r="C40" i="12" l="1"/>
  <c r="C31" i="12"/>
  <c r="B22" i="12"/>
  <c r="C22" i="12"/>
  <c r="C13" i="12"/>
  <c r="I664" i="1"/>
  <c r="I613" i="1"/>
  <c r="L611" i="1"/>
  <c r="J613" i="1"/>
  <c r="L610" i="1"/>
  <c r="F662" i="1"/>
  <c r="K603" i="1"/>
  <c r="K602" i="1"/>
  <c r="J604" i="1"/>
  <c r="K596" i="1"/>
  <c r="K595" i="1"/>
  <c r="K593" i="1"/>
  <c r="I597" i="1"/>
  <c r="H649" i="1"/>
  <c r="H597" i="1"/>
  <c r="H648" i="1"/>
  <c r="K591" i="1"/>
  <c r="J597" i="1"/>
  <c r="H650" i="1" s="1"/>
  <c r="I586" i="1"/>
  <c r="I581" i="1"/>
  <c r="I578" i="1"/>
  <c r="I585" i="1"/>
  <c r="I577" i="1"/>
  <c r="J569" i="1"/>
  <c r="L567" i="1"/>
  <c r="F569" i="1"/>
  <c r="K569" i="1"/>
  <c r="L566" i="1"/>
  <c r="L563" i="1"/>
  <c r="K564" i="1"/>
  <c r="H564" i="1"/>
  <c r="G564" i="1"/>
  <c r="I564" i="1"/>
  <c r="L561" i="1"/>
  <c r="L558" i="1"/>
  <c r="I559" i="1"/>
  <c r="L557" i="1"/>
  <c r="H559" i="1"/>
  <c r="K543" i="1"/>
  <c r="L541" i="1"/>
  <c r="J549" i="1" s="1"/>
  <c r="J543" i="1"/>
  <c r="I543" i="1"/>
  <c r="F543" i="1"/>
  <c r="I538" i="1"/>
  <c r="K538" i="1"/>
  <c r="H538" i="1"/>
  <c r="G538" i="1"/>
  <c r="K533" i="1"/>
  <c r="G533" i="1"/>
  <c r="J533" i="1"/>
  <c r="I533" i="1"/>
  <c r="I528" i="1"/>
  <c r="K528" i="1"/>
  <c r="H528" i="1"/>
  <c r="G528" i="1"/>
  <c r="K523" i="1"/>
  <c r="G523" i="1"/>
  <c r="J523" i="1"/>
  <c r="I523" i="1"/>
  <c r="I516" i="1"/>
  <c r="F516" i="1"/>
  <c r="G502" i="1"/>
  <c r="C163" i="2"/>
  <c r="K501" i="1"/>
  <c r="G499" i="1"/>
  <c r="C160" i="2" s="1"/>
  <c r="F499" i="1"/>
  <c r="B160" i="2" s="1"/>
  <c r="K496" i="1"/>
  <c r="B156" i="2"/>
  <c r="C155" i="2"/>
  <c r="C154" i="2"/>
  <c r="B152" i="2"/>
  <c r="C150" i="2"/>
  <c r="G473" i="1"/>
  <c r="I473" i="1"/>
  <c r="H632" i="1"/>
  <c r="J469" i="1"/>
  <c r="G469" i="1"/>
  <c r="F469" i="1"/>
  <c r="I457" i="1"/>
  <c r="J39" i="1" s="1"/>
  <c r="I448" i="1"/>
  <c r="L404" i="1"/>
  <c r="L403" i="1"/>
  <c r="L398" i="1"/>
  <c r="L397" i="1"/>
  <c r="L394" i="1"/>
  <c r="L391" i="1"/>
  <c r="L388" i="1"/>
  <c r="L387" i="1"/>
  <c r="L357" i="1"/>
  <c r="L349" i="1"/>
  <c r="L344" i="1"/>
  <c r="K350" i="1"/>
  <c r="L332" i="1"/>
  <c r="L325" i="1"/>
  <c r="L319" i="1"/>
  <c r="K327" i="1"/>
  <c r="L306" i="1"/>
  <c r="L302" i="1"/>
  <c r="L297" i="1"/>
  <c r="J308" i="1"/>
  <c r="K308" i="1"/>
  <c r="L287" i="1"/>
  <c r="L283" i="1"/>
  <c r="L278" i="1"/>
  <c r="J289" i="1"/>
  <c r="L267" i="1"/>
  <c r="C141" i="2" s="1"/>
  <c r="L252" i="1"/>
  <c r="D19" i="13" s="1"/>
  <c r="C19" i="13" s="1"/>
  <c r="G18" i="13"/>
  <c r="L250" i="1"/>
  <c r="D17" i="13" s="1"/>
  <c r="C17" i="13" s="1"/>
  <c r="L244" i="1"/>
  <c r="L242" i="1"/>
  <c r="L240" i="1"/>
  <c r="L238" i="1"/>
  <c r="L233" i="1"/>
  <c r="L222" i="1"/>
  <c r="L215" i="1"/>
  <c r="F16" i="13"/>
  <c r="F14" i="13"/>
  <c r="G13" i="13"/>
  <c r="F12" i="13"/>
  <c r="G8" i="13"/>
  <c r="F7" i="13"/>
  <c r="G6" i="13"/>
  <c r="F5" i="13"/>
  <c r="L197" i="1"/>
  <c r="C9" i="12"/>
  <c r="H182" i="1"/>
  <c r="I161" i="1"/>
  <c r="H146" i="1"/>
  <c r="F135" i="1"/>
  <c r="C37" i="10"/>
  <c r="J120" i="1"/>
  <c r="G120" i="1"/>
  <c r="J110" i="1"/>
  <c r="F110" i="1"/>
  <c r="F78" i="1"/>
  <c r="C56" i="2" s="1"/>
  <c r="C61" i="2" s="1"/>
  <c r="C62" i="2" s="1"/>
  <c r="C103" i="2" s="1"/>
  <c r="J59" i="1"/>
  <c r="J111" i="1" s="1"/>
  <c r="G55" i="2"/>
  <c r="D47" i="2"/>
  <c r="C47" i="2"/>
  <c r="D46" i="2"/>
  <c r="C46" i="2"/>
  <c r="E44" i="2"/>
  <c r="D44" i="2"/>
  <c r="D43" i="2"/>
  <c r="D42" i="2"/>
  <c r="D39" i="2"/>
  <c r="F36" i="2"/>
  <c r="E23" i="2"/>
  <c r="F21" i="2"/>
  <c r="F9" i="2"/>
  <c r="F12" i="2"/>
  <c r="D11" i="2"/>
  <c r="E17" i="2"/>
  <c r="C12" i="2"/>
  <c r="F40" i="2"/>
  <c r="G654" i="1"/>
  <c r="F47" i="2"/>
  <c r="E47" i="2"/>
  <c r="F46" i="2"/>
  <c r="E46" i="2"/>
  <c r="F44" i="2"/>
  <c r="C44" i="2"/>
  <c r="F43" i="2"/>
  <c r="E43" i="2"/>
  <c r="C43" i="2"/>
  <c r="F42" i="2"/>
  <c r="E42" i="2"/>
  <c r="C42" i="2"/>
  <c r="F38" i="2"/>
  <c r="E38" i="2"/>
  <c r="D38" i="2"/>
  <c r="C38" i="2"/>
  <c r="E36" i="2"/>
  <c r="D36" i="2"/>
  <c r="C36" i="2"/>
  <c r="I454" i="1"/>
  <c r="J45" i="1"/>
  <c r="G44" i="2" s="1"/>
  <c r="C67" i="2"/>
  <c r="B2" i="13"/>
  <c r="F8" i="13"/>
  <c r="L221" i="1"/>
  <c r="L239" i="1"/>
  <c r="D39" i="13"/>
  <c r="F13" i="13"/>
  <c r="L223" i="1"/>
  <c r="L241" i="1"/>
  <c r="G16" i="13"/>
  <c r="L208" i="1"/>
  <c r="L226" i="1"/>
  <c r="G5" i="13"/>
  <c r="L196" i="1"/>
  <c r="L199" i="1"/>
  <c r="L214" i="1"/>
  <c r="L217" i="1"/>
  <c r="L232" i="1"/>
  <c r="L235" i="1"/>
  <c r="F6" i="13"/>
  <c r="L219" i="1"/>
  <c r="L237" i="1"/>
  <c r="G7" i="13"/>
  <c r="L202" i="1"/>
  <c r="L220" i="1"/>
  <c r="G12" i="13"/>
  <c r="L204" i="1"/>
  <c r="C18" i="10" s="1"/>
  <c r="G14" i="13"/>
  <c r="L206" i="1"/>
  <c r="C20" i="10" s="1"/>
  <c r="L224" i="1"/>
  <c r="F15" i="13"/>
  <c r="G15" i="13"/>
  <c r="L207" i="1"/>
  <c r="L243" i="1"/>
  <c r="F17" i="13"/>
  <c r="G17" i="13"/>
  <c r="F18" i="13"/>
  <c r="L251" i="1"/>
  <c r="F19" i="13"/>
  <c r="G19" i="13"/>
  <c r="F29" i="13"/>
  <c r="G29" i="13"/>
  <c r="L359" i="1"/>
  <c r="I366" i="1"/>
  <c r="J327" i="1"/>
  <c r="K289" i="1"/>
  <c r="L275" i="1"/>
  <c r="L276" i="1"/>
  <c r="L280" i="1"/>
  <c r="L281" i="1"/>
  <c r="L284" i="1"/>
  <c r="L285" i="1"/>
  <c r="L294" i="1"/>
  <c r="L295" i="1"/>
  <c r="L299" i="1"/>
  <c r="L300" i="1"/>
  <c r="L303" i="1"/>
  <c r="L304" i="1"/>
  <c r="L313" i="1"/>
  <c r="L314" i="1"/>
  <c r="L316" i="1"/>
  <c r="L318" i="1"/>
  <c r="L320" i="1"/>
  <c r="L321" i="1"/>
  <c r="L323" i="1"/>
  <c r="L324" i="1"/>
  <c r="L333" i="1"/>
  <c r="L334" i="1"/>
  <c r="L259" i="1"/>
  <c r="C130" i="2"/>
  <c r="L260" i="1"/>
  <c r="L340" i="1"/>
  <c r="L341" i="1"/>
  <c r="E131" i="2"/>
  <c r="L254" i="1"/>
  <c r="C129" i="2"/>
  <c r="C11" i="13"/>
  <c r="C10" i="13"/>
  <c r="C9" i="13"/>
  <c r="L360" i="1"/>
  <c r="B4" i="12"/>
  <c r="B36" i="12"/>
  <c r="C36" i="12"/>
  <c r="B27" i="12"/>
  <c r="C27" i="12"/>
  <c r="B9" i="12"/>
  <c r="B13" i="12"/>
  <c r="B18" i="12"/>
  <c r="C18" i="12"/>
  <c r="B1" i="12"/>
  <c r="L386" i="1"/>
  <c r="L389" i="1"/>
  <c r="L390" i="1"/>
  <c r="L395" i="1"/>
  <c r="L396" i="1"/>
  <c r="L399" i="1"/>
  <c r="L402" i="1"/>
  <c r="L405" i="1"/>
  <c r="L406" i="1" s="1"/>
  <c r="L265" i="1"/>
  <c r="G58" i="2"/>
  <c r="G60" i="2"/>
  <c r="F2" i="11"/>
  <c r="L612" i="1"/>
  <c r="G59" i="1"/>
  <c r="H59" i="1"/>
  <c r="E55" i="2"/>
  <c r="I59" i="1"/>
  <c r="F55" i="2"/>
  <c r="G110" i="1"/>
  <c r="H78" i="1"/>
  <c r="E56" i="2" s="1"/>
  <c r="H110" i="1"/>
  <c r="F120" i="1"/>
  <c r="G135" i="1"/>
  <c r="H120" i="1"/>
  <c r="I120" i="1"/>
  <c r="I135" i="1"/>
  <c r="J135" i="1"/>
  <c r="J139" i="1" s="1"/>
  <c r="F146" i="1"/>
  <c r="C84" i="2"/>
  <c r="G146" i="1"/>
  <c r="D84" i="2"/>
  <c r="H161" i="1"/>
  <c r="I146" i="1"/>
  <c r="I168" i="1" s="1"/>
  <c r="L249" i="1"/>
  <c r="L331" i="1"/>
  <c r="E112" i="2"/>
  <c r="L268" i="1"/>
  <c r="L348" i="1"/>
  <c r="E141" i="2" s="1"/>
  <c r="I669" i="1"/>
  <c r="H661" i="1"/>
  <c r="I668" i="1"/>
  <c r="C42" i="10"/>
  <c r="L373" i="1"/>
  <c r="L374" i="1"/>
  <c r="L377" i="1"/>
  <c r="L378" i="1"/>
  <c r="B2" i="10"/>
  <c r="L343" i="1"/>
  <c r="E133" i="2"/>
  <c r="L345" i="1"/>
  <c r="L346" i="1"/>
  <c r="L521" i="1"/>
  <c r="L527" i="1"/>
  <c r="L537" i="1"/>
  <c r="I550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C10" i="2"/>
  <c r="C11" i="2"/>
  <c r="C13" i="2"/>
  <c r="C15" i="2"/>
  <c r="C16" i="2"/>
  <c r="C17" i="2"/>
  <c r="D9" i="2"/>
  <c r="E9" i="2"/>
  <c r="I439" i="1"/>
  <c r="E11" i="2"/>
  <c r="F11" i="2"/>
  <c r="I440" i="1"/>
  <c r="J12" i="1" s="1"/>
  <c r="G11" i="2" s="1"/>
  <c r="D12" i="2"/>
  <c r="E12" i="2"/>
  <c r="I441" i="1"/>
  <c r="J13" i="1"/>
  <c r="G12" i="2" s="1"/>
  <c r="D13" i="2"/>
  <c r="E13" i="2"/>
  <c r="F13" i="2"/>
  <c r="I442" i="1"/>
  <c r="J14" i="1"/>
  <c r="G13" i="2" s="1"/>
  <c r="F14" i="2"/>
  <c r="D15" i="2"/>
  <c r="E15" i="2"/>
  <c r="F15" i="2"/>
  <c r="D16" i="2"/>
  <c r="E16" i="2"/>
  <c r="F16" i="2"/>
  <c r="D17" i="2"/>
  <c r="F17" i="2"/>
  <c r="I444" i="1"/>
  <c r="J18" i="1"/>
  <c r="G17" i="2" s="1"/>
  <c r="C21" i="2"/>
  <c r="D21" i="2"/>
  <c r="E21" i="2"/>
  <c r="E31" i="2" s="1"/>
  <c r="I447" i="1"/>
  <c r="J22" i="1"/>
  <c r="G21" i="2" s="1"/>
  <c r="G31" i="2" s="1"/>
  <c r="C22" i="2"/>
  <c r="D22" i="2"/>
  <c r="E22" i="2"/>
  <c r="F22" i="2"/>
  <c r="J23" i="1"/>
  <c r="C23" i="2"/>
  <c r="D23" i="2"/>
  <c r="F23" i="2"/>
  <c r="I449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I459" i="1"/>
  <c r="I456" i="1"/>
  <c r="J37" i="1"/>
  <c r="I458" i="1"/>
  <c r="J47" i="1"/>
  <c r="G46" i="2" s="1"/>
  <c r="C48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F72" i="2"/>
  <c r="F75" i="2"/>
  <c r="F76" i="2"/>
  <c r="F77" i="2" s="1"/>
  <c r="F80" i="2" s="1"/>
  <c r="C72" i="2"/>
  <c r="C73" i="2"/>
  <c r="C74" i="2"/>
  <c r="C75" i="2"/>
  <c r="E75" i="2"/>
  <c r="C76" i="2"/>
  <c r="D76" i="2"/>
  <c r="D77" i="2"/>
  <c r="E76" i="2"/>
  <c r="G76" i="2"/>
  <c r="G77" i="2" s="1"/>
  <c r="G80" i="2" s="1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G102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D114" i="2"/>
  <c r="F114" i="2"/>
  <c r="G114" i="2"/>
  <c r="F127" i="2"/>
  <c r="G127" i="2"/>
  <c r="D133" i="2"/>
  <c r="D143" i="2"/>
  <c r="F133" i="2"/>
  <c r="K418" i="1"/>
  <c r="K426" i="1"/>
  <c r="K433" i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2" i="2"/>
  <c r="B150" i="2"/>
  <c r="D150" i="2"/>
  <c r="E150" i="2"/>
  <c r="F150" i="2"/>
  <c r="B151" i="2"/>
  <c r="C151" i="2"/>
  <c r="D151" i="2"/>
  <c r="E151" i="2"/>
  <c r="F151" i="2"/>
  <c r="C152" i="2"/>
  <c r="D152" i="2"/>
  <c r="E152" i="2"/>
  <c r="F152" i="2"/>
  <c r="B153" i="2"/>
  <c r="C153" i="2"/>
  <c r="D153" i="2"/>
  <c r="E153" i="2"/>
  <c r="F153" i="2"/>
  <c r="B154" i="2"/>
  <c r="D154" i="2"/>
  <c r="E154" i="2"/>
  <c r="F154" i="2"/>
  <c r="B155" i="2"/>
  <c r="D155" i="2"/>
  <c r="E155" i="2"/>
  <c r="F155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D159" i="2"/>
  <c r="E159" i="2"/>
  <c r="F159" i="2"/>
  <c r="H499" i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F51" i="1"/>
  <c r="H616" i="1" s="1"/>
  <c r="H50" i="1"/>
  <c r="G623" i="1" s="1"/>
  <c r="I50" i="1"/>
  <c r="G624" i="1" s="1"/>
  <c r="F176" i="1"/>
  <c r="I176" i="1"/>
  <c r="F182" i="1"/>
  <c r="G182" i="1"/>
  <c r="I182" i="1"/>
  <c r="J182" i="1"/>
  <c r="F187" i="1"/>
  <c r="G187" i="1"/>
  <c r="G191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/>
  <c r="J361" i="1"/>
  <c r="K361" i="1"/>
  <c r="I367" i="1"/>
  <c r="I368" i="1"/>
  <c r="H633" i="1" s="1"/>
  <c r="J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I433" i="1" s="1"/>
  <c r="J426" i="1"/>
  <c r="L428" i="1"/>
  <c r="L429" i="1"/>
  <c r="L430" i="1"/>
  <c r="L432" i="1" s="1"/>
  <c r="L431" i="1"/>
  <c r="F432" i="1"/>
  <c r="G432" i="1"/>
  <c r="H432" i="1"/>
  <c r="I432" i="1"/>
  <c r="J432" i="1"/>
  <c r="F445" i="1"/>
  <c r="G638" i="1"/>
  <c r="G445" i="1"/>
  <c r="G639" i="1"/>
  <c r="H445" i="1"/>
  <c r="G640" i="1"/>
  <c r="F451" i="1"/>
  <c r="G451" i="1"/>
  <c r="H451" i="1"/>
  <c r="F459" i="1"/>
  <c r="G459" i="1"/>
  <c r="H459" i="1"/>
  <c r="H460" i="1" s="1"/>
  <c r="H640" i="1" s="1"/>
  <c r="H469" i="1"/>
  <c r="I469" i="1"/>
  <c r="F473" i="1"/>
  <c r="H473" i="1"/>
  <c r="J473" i="1"/>
  <c r="K495" i="1"/>
  <c r="K500" i="1"/>
  <c r="G516" i="1"/>
  <c r="H516" i="1"/>
  <c r="H523" i="1"/>
  <c r="F528" i="1"/>
  <c r="J528" i="1"/>
  <c r="H533" i="1"/>
  <c r="F538" i="1"/>
  <c r="J538" i="1"/>
  <c r="H543" i="1"/>
  <c r="L556" i="1"/>
  <c r="F559" i="1"/>
  <c r="G559" i="1"/>
  <c r="J559" i="1"/>
  <c r="K559" i="1"/>
  <c r="F564" i="1"/>
  <c r="J564" i="1"/>
  <c r="L568" i="1"/>
  <c r="L569" i="1" s="1"/>
  <c r="H569" i="1"/>
  <c r="I569" i="1"/>
  <c r="I574" i="1"/>
  <c r="I575" i="1"/>
  <c r="I576" i="1"/>
  <c r="I579" i="1"/>
  <c r="I580" i="1"/>
  <c r="I582" i="1"/>
  <c r="I583" i="1"/>
  <c r="I584" i="1"/>
  <c r="K590" i="1"/>
  <c r="K594" i="1"/>
  <c r="K601" i="1"/>
  <c r="H604" i="1"/>
  <c r="I604" i="1"/>
  <c r="G613" i="1"/>
  <c r="H613" i="1"/>
  <c r="K613" i="1"/>
  <c r="G619" i="1"/>
  <c r="H628" i="1"/>
  <c r="H629" i="1"/>
  <c r="H631" i="1"/>
  <c r="H634" i="1"/>
  <c r="H637" i="1"/>
  <c r="G642" i="1"/>
  <c r="G643" i="1"/>
  <c r="G651" i="1"/>
  <c r="H651" i="1"/>
  <c r="J651" i="1" s="1"/>
  <c r="G652" i="1"/>
  <c r="H652" i="1"/>
  <c r="G653" i="1"/>
  <c r="H653" i="1"/>
  <c r="J653" i="1" s="1"/>
  <c r="H654" i="1"/>
  <c r="H433" i="1"/>
  <c r="I407" i="1"/>
  <c r="E120" i="2"/>
  <c r="G650" i="1"/>
  <c r="D61" i="2"/>
  <c r="E77" i="2"/>
  <c r="G22" i="2"/>
  <c r="L400" i="1"/>
  <c r="C138" i="2" s="1"/>
  <c r="L392" i="1"/>
  <c r="C137" i="2" s="1"/>
  <c r="A13" i="12"/>
  <c r="J654" i="1"/>
  <c r="H475" i="1"/>
  <c r="H623" i="1" s="1"/>
  <c r="F139" i="1"/>
  <c r="F93" i="1"/>
  <c r="C57" i="2"/>
  <c r="F191" i="1"/>
  <c r="G50" i="1"/>
  <c r="H570" i="1"/>
  <c r="I544" i="1"/>
  <c r="K544" i="1"/>
  <c r="G162" i="2"/>
  <c r="J475" i="1"/>
  <c r="H625" i="1"/>
  <c r="F475" i="1"/>
  <c r="H621" i="1"/>
  <c r="G475" i="1"/>
  <c r="H622" i="1"/>
  <c r="H544" i="1"/>
  <c r="K604" i="1"/>
  <c r="G647" i="1" s="1"/>
  <c r="I570" i="1"/>
  <c r="J570" i="1"/>
  <c r="F570" i="1"/>
  <c r="K570" i="1"/>
  <c r="L559" i="1"/>
  <c r="I475" i="1"/>
  <c r="H624" i="1" s="1"/>
  <c r="G156" i="2"/>
  <c r="G543" i="1"/>
  <c r="G544" i="1" s="1"/>
  <c r="K494" i="1"/>
  <c r="L535" i="1"/>
  <c r="I548" i="1"/>
  <c r="L520" i="1"/>
  <c r="F548" i="1"/>
  <c r="L522" i="1"/>
  <c r="F550" i="1"/>
  <c r="L530" i="1"/>
  <c r="H548" i="1"/>
  <c r="H636" i="1"/>
  <c r="H627" i="1"/>
  <c r="F613" i="1"/>
  <c r="K592" i="1"/>
  <c r="K597" i="1" s="1"/>
  <c r="G646" i="1" s="1"/>
  <c r="G569" i="1"/>
  <c r="G570" i="1"/>
  <c r="L562" i="1"/>
  <c r="L564" i="1"/>
  <c r="F533" i="1"/>
  <c r="F523" i="1"/>
  <c r="K497" i="1"/>
  <c r="F502" i="1"/>
  <c r="K502" i="1" s="1"/>
  <c r="C159" i="2"/>
  <c r="G159" i="2" s="1"/>
  <c r="L531" i="1"/>
  <c r="H549" i="1" s="1"/>
  <c r="L525" i="1"/>
  <c r="G548" i="1" s="1"/>
  <c r="L613" i="1"/>
  <c r="K498" i="1"/>
  <c r="G460" i="1"/>
  <c r="H639" i="1" s="1"/>
  <c r="J639" i="1" s="1"/>
  <c r="H168" i="1"/>
  <c r="L526" i="1"/>
  <c r="G549" i="1" s="1"/>
  <c r="H635" i="1"/>
  <c r="H630" i="1"/>
  <c r="H626" i="1"/>
  <c r="G161" i="2"/>
  <c r="G139" i="1"/>
  <c r="B31" i="12"/>
  <c r="B40" i="12"/>
  <c r="G36" i="2"/>
  <c r="J43" i="1"/>
  <c r="G42" i="2"/>
  <c r="I451" i="1"/>
  <c r="I460" i="1" s="1"/>
  <c r="H641" i="1" s="1"/>
  <c r="G433" i="1"/>
  <c r="L418" i="1"/>
  <c r="F407" i="1"/>
  <c r="H642" i="1" s="1"/>
  <c r="J642" i="1" s="1"/>
  <c r="E142" i="2"/>
  <c r="C25" i="10"/>
  <c r="J337" i="1"/>
  <c r="J351" i="1" s="1"/>
  <c r="E122" i="2"/>
  <c r="F31" i="13"/>
  <c r="E124" i="2"/>
  <c r="E118" i="2"/>
  <c r="G337" i="1"/>
  <c r="G351" i="1" s="1"/>
  <c r="F337" i="1"/>
  <c r="F351" i="1" s="1"/>
  <c r="I337" i="1"/>
  <c r="I351" i="1" s="1"/>
  <c r="H337" i="1"/>
  <c r="H351" i="1" s="1"/>
  <c r="E108" i="2"/>
  <c r="C11" i="10"/>
  <c r="E111" i="2"/>
  <c r="C16" i="10"/>
  <c r="A31" i="12"/>
  <c r="J652" i="1"/>
  <c r="H25" i="13"/>
  <c r="C131" i="2"/>
  <c r="D7" i="13"/>
  <c r="C7" i="13" s="1"/>
  <c r="E16" i="13"/>
  <c r="C16" i="13" s="1"/>
  <c r="A40" i="12"/>
  <c r="C111" i="2"/>
  <c r="C124" i="2"/>
  <c r="K256" i="1"/>
  <c r="G256" i="1"/>
  <c r="G270" i="1" s="1"/>
  <c r="A22" i="12"/>
  <c r="I256" i="1"/>
  <c r="I270" i="1"/>
  <c r="C108" i="2"/>
  <c r="C118" i="2"/>
  <c r="C13" i="10"/>
  <c r="F102" i="2"/>
  <c r="D102" i="2"/>
  <c r="C102" i="2"/>
  <c r="H191" i="1"/>
  <c r="I191" i="1"/>
  <c r="D90" i="2"/>
  <c r="C90" i="2"/>
  <c r="E84" i="2"/>
  <c r="E90" i="2" s="1"/>
  <c r="E80" i="2"/>
  <c r="D80" i="2"/>
  <c r="C77" i="2"/>
  <c r="G61" i="2"/>
  <c r="G62" i="2"/>
  <c r="F61" i="2"/>
  <c r="F62" i="2"/>
  <c r="D49" i="2"/>
  <c r="D50" i="2" s="1"/>
  <c r="G621" i="1"/>
  <c r="H51" i="1"/>
  <c r="H618" i="1"/>
  <c r="J623" i="1"/>
  <c r="I51" i="1"/>
  <c r="H619" i="1"/>
  <c r="J619" i="1" s="1"/>
  <c r="C49" i="2"/>
  <c r="F31" i="2"/>
  <c r="J616" i="1"/>
  <c r="C31" i="2"/>
  <c r="F18" i="2"/>
  <c r="C18" i="2"/>
  <c r="J32" i="1"/>
  <c r="J544" i="1"/>
  <c r="F433" i="1"/>
  <c r="F256" i="1"/>
  <c r="F270" i="1"/>
  <c r="G550" i="1"/>
  <c r="F549" i="1"/>
  <c r="J650" i="1"/>
  <c r="B163" i="2"/>
  <c r="G163" i="2"/>
  <c r="J10" i="1"/>
  <c r="C10" i="10"/>
  <c r="J191" i="1"/>
  <c r="J192" i="1"/>
  <c r="G644" i="1"/>
  <c r="D18" i="2"/>
  <c r="J433" i="1"/>
  <c r="H407" i="1"/>
  <c r="H643" i="1" s="1"/>
  <c r="J643" i="1"/>
  <c r="L255" i="1"/>
  <c r="J256" i="1"/>
  <c r="H256" i="1"/>
  <c r="H270" i="1"/>
  <c r="G155" i="2"/>
  <c r="L426" i="1"/>
  <c r="G407" i="1"/>
  <c r="H644" i="1"/>
  <c r="D160" i="2"/>
  <c r="G160" i="2"/>
  <c r="K499" i="1"/>
  <c r="G158" i="2"/>
  <c r="E102" i="2"/>
  <c r="C69" i="2"/>
  <c r="C112" i="2"/>
  <c r="C23" i="10"/>
  <c r="I139" i="1"/>
  <c r="C122" i="2"/>
  <c r="D14" i="13"/>
  <c r="C14" i="13"/>
  <c r="F460" i="1"/>
  <c r="H638" i="1"/>
  <c r="J638" i="1" s="1"/>
  <c r="G157" i="2"/>
  <c r="E18" i="2"/>
  <c r="H662" i="1"/>
  <c r="L350" i="1"/>
  <c r="E130" i="2"/>
  <c r="G648" i="1"/>
  <c r="J648" i="1" s="1"/>
  <c r="J640" i="1"/>
  <c r="F49" i="2"/>
  <c r="F50" i="2"/>
  <c r="D55" i="2"/>
  <c r="D62" i="2"/>
  <c r="D103" i="2" s="1"/>
  <c r="G111" i="1"/>
  <c r="K337" i="1"/>
  <c r="K351" i="1"/>
  <c r="G31" i="13"/>
  <c r="G33" i="13"/>
  <c r="D18" i="13"/>
  <c r="C18" i="13"/>
  <c r="C113" i="2"/>
  <c r="D12" i="13"/>
  <c r="C12" i="13" s="1"/>
  <c r="C120" i="2"/>
  <c r="E49" i="2"/>
  <c r="E50" i="2"/>
  <c r="C32" i="10"/>
  <c r="E117" i="2"/>
  <c r="F59" i="1"/>
  <c r="H93" i="1"/>
  <c r="E57" i="2" s="1"/>
  <c r="E61" i="2" s="1"/>
  <c r="E62" i="2" s="1"/>
  <c r="E103" i="2" s="1"/>
  <c r="I110" i="1"/>
  <c r="I111" i="1" s="1"/>
  <c r="H135" i="1"/>
  <c r="H139" i="1" s="1"/>
  <c r="C38" i="10" s="1"/>
  <c r="F161" i="1"/>
  <c r="F168" i="1" s="1"/>
  <c r="G161" i="1"/>
  <c r="G168" i="1" s="1"/>
  <c r="G192" i="1" s="1"/>
  <c r="G627" i="1" s="1"/>
  <c r="J627" i="1" s="1"/>
  <c r="C40" i="10"/>
  <c r="L198" i="1"/>
  <c r="L201" i="1"/>
  <c r="L203" i="1"/>
  <c r="L210" i="1" s="1"/>
  <c r="F659" i="1" s="1"/>
  <c r="L205" i="1"/>
  <c r="L216" i="1"/>
  <c r="L225" i="1"/>
  <c r="L234" i="1"/>
  <c r="L246" i="1" s="1"/>
  <c r="H659" i="1" s="1"/>
  <c r="H663" i="1" s="1"/>
  <c r="H666" i="1" s="1"/>
  <c r="L253" i="1"/>
  <c r="C24" i="10" s="1"/>
  <c r="K269" i="1"/>
  <c r="L269" i="1" s="1"/>
  <c r="L277" i="1"/>
  <c r="L282" i="1"/>
  <c r="L286" i="1"/>
  <c r="L296" i="1"/>
  <c r="L301" i="1"/>
  <c r="L305" i="1"/>
  <c r="L315" i="1"/>
  <c r="L327" i="1" s="1"/>
  <c r="L322" i="1"/>
  <c r="E121" i="2" s="1"/>
  <c r="E127" i="2" s="1"/>
  <c r="L335" i="1"/>
  <c r="L358" i="1"/>
  <c r="L375" i="1"/>
  <c r="L381" i="1" s="1"/>
  <c r="G635" i="1" s="1"/>
  <c r="J635" i="1" s="1"/>
  <c r="L376" i="1"/>
  <c r="L379" i="1"/>
  <c r="I443" i="1"/>
  <c r="I445" i="1" s="1"/>
  <c r="G641" i="1" s="1"/>
  <c r="J641" i="1" s="1"/>
  <c r="J17" i="1"/>
  <c r="G16" i="2" s="1"/>
  <c r="G662" i="1"/>
  <c r="E109" i="2"/>
  <c r="E113" i="2"/>
  <c r="L532" i="1"/>
  <c r="L536" i="1"/>
  <c r="L540" i="1"/>
  <c r="L542" i="1"/>
  <c r="J550" i="1" s="1"/>
  <c r="K550" i="1" s="1"/>
  <c r="J621" i="1"/>
  <c r="G622" i="1"/>
  <c r="J622" i="1"/>
  <c r="G51" i="1"/>
  <c r="H617" i="1"/>
  <c r="J617" i="1" s="1"/>
  <c r="I662" i="1"/>
  <c r="L570" i="1"/>
  <c r="F544" i="1"/>
  <c r="F551" i="1"/>
  <c r="L523" i="1"/>
  <c r="L528" i="1"/>
  <c r="L433" i="1"/>
  <c r="G637" i="1" s="1"/>
  <c r="J637" i="1" s="1"/>
  <c r="F129" i="2"/>
  <c r="F143" i="2" s="1"/>
  <c r="F144" i="2" s="1"/>
  <c r="C21" i="10"/>
  <c r="C25" i="13"/>
  <c r="H33" i="13"/>
  <c r="G103" i="2"/>
  <c r="C80" i="2"/>
  <c r="C50" i="2"/>
  <c r="E129" i="2"/>
  <c r="E143" i="2" s="1"/>
  <c r="C29" i="10"/>
  <c r="F22" i="13"/>
  <c r="F111" i="1"/>
  <c r="F192" i="1" s="1"/>
  <c r="G626" i="1" s="1"/>
  <c r="J626" i="1" s="1"/>
  <c r="C35" i="10"/>
  <c r="C55" i="2"/>
  <c r="H647" i="1"/>
  <c r="J647" i="1"/>
  <c r="J270" i="1"/>
  <c r="L308" i="1"/>
  <c r="I549" i="1"/>
  <c r="I551" i="1"/>
  <c r="L538" i="1"/>
  <c r="E123" i="2"/>
  <c r="F661" i="1"/>
  <c r="C19" i="10"/>
  <c r="C121" i="2"/>
  <c r="E13" i="13"/>
  <c r="C13" i="13"/>
  <c r="H646" i="1"/>
  <c r="J646" i="1"/>
  <c r="J644" i="1"/>
  <c r="G9" i="2"/>
  <c r="G18" i="2" s="1"/>
  <c r="J19" i="1"/>
  <c r="G620" i="1" s="1"/>
  <c r="H111" i="1"/>
  <c r="H192" i="1" s="1"/>
  <c r="G628" i="1" s="1"/>
  <c r="J628" i="1" s="1"/>
  <c r="K270" i="1"/>
  <c r="E110" i="2"/>
  <c r="E114" i="2"/>
  <c r="L289" i="1"/>
  <c r="G649" i="1"/>
  <c r="J649" i="1" s="1"/>
  <c r="G661" i="1"/>
  <c r="I661" i="1" s="1"/>
  <c r="C15" i="10"/>
  <c r="D6" i="13"/>
  <c r="C6" i="13" s="1"/>
  <c r="C117" i="2"/>
  <c r="D15" i="13"/>
  <c r="C15" i="13"/>
  <c r="J548" i="1"/>
  <c r="K548" i="1" s="1"/>
  <c r="L543" i="1"/>
  <c r="L228" i="1"/>
  <c r="C110" i="2"/>
  <c r="C114" i="2" s="1"/>
  <c r="C12" i="10"/>
  <c r="D5" i="13"/>
  <c r="G551" i="1"/>
  <c r="H550" i="1"/>
  <c r="H551" i="1" s="1"/>
  <c r="L533" i="1"/>
  <c r="G660" i="1"/>
  <c r="D29" i="13"/>
  <c r="C29" i="13" s="1"/>
  <c r="D126" i="2"/>
  <c r="D127" i="2" s="1"/>
  <c r="D144" i="2" s="1"/>
  <c r="F660" i="1"/>
  <c r="I660" i="1" s="1"/>
  <c r="H660" i="1"/>
  <c r="L361" i="1"/>
  <c r="E119" i="2"/>
  <c r="E8" i="13"/>
  <c r="C119" i="2"/>
  <c r="C17" i="10"/>
  <c r="C123" i="2"/>
  <c r="G645" i="1"/>
  <c r="G630" i="1"/>
  <c r="J630" i="1" s="1"/>
  <c r="L544" i="1"/>
  <c r="G659" i="1"/>
  <c r="C22" i="13"/>
  <c r="F33" i="13"/>
  <c r="L256" i="1"/>
  <c r="L270" i="1" s="1"/>
  <c r="G631" i="1" s="1"/>
  <c r="J631" i="1" s="1"/>
  <c r="C27" i="10"/>
  <c r="G634" i="1"/>
  <c r="J634" i="1" s="1"/>
  <c r="C5" i="13"/>
  <c r="C8" i="13"/>
  <c r="E33" i="13"/>
  <c r="D35" i="13"/>
  <c r="C127" i="2"/>
  <c r="H671" i="1"/>
  <c r="C6" i="10" s="1"/>
  <c r="G663" i="1" l="1"/>
  <c r="J551" i="1"/>
  <c r="K549" i="1"/>
  <c r="K551" i="1" s="1"/>
  <c r="L337" i="1"/>
  <c r="L351" i="1" s="1"/>
  <c r="G632" i="1" s="1"/>
  <c r="J632" i="1" s="1"/>
  <c r="D31" i="13"/>
  <c r="C28" i="10"/>
  <c r="C39" i="10"/>
  <c r="I192" i="1"/>
  <c r="G629" i="1" s="1"/>
  <c r="J629" i="1" s="1"/>
  <c r="C36" i="10"/>
  <c r="D27" i="10"/>
  <c r="E144" i="2"/>
  <c r="I659" i="1"/>
  <c r="I663" i="1" s="1"/>
  <c r="F663" i="1"/>
  <c r="J624" i="1"/>
  <c r="J618" i="1"/>
  <c r="C143" i="2"/>
  <c r="C144" i="2" s="1"/>
  <c r="C139" i="2"/>
  <c r="C140" i="2" s="1"/>
  <c r="L407" i="1"/>
  <c r="J50" i="1"/>
  <c r="G38" i="2"/>
  <c r="G49" i="2" s="1"/>
  <c r="G50" i="2" s="1"/>
  <c r="C26" i="10"/>
  <c r="F84" i="2"/>
  <c r="F90" i="2" s="1"/>
  <c r="F103" i="2" s="1"/>
  <c r="G671" i="1" l="1"/>
  <c r="C5" i="10" s="1"/>
  <c r="G666" i="1"/>
  <c r="G636" i="1"/>
  <c r="J636" i="1" s="1"/>
  <c r="H645" i="1"/>
  <c r="J645" i="1" s="1"/>
  <c r="I671" i="1"/>
  <c r="C7" i="10" s="1"/>
  <c r="I666" i="1"/>
  <c r="D22" i="10"/>
  <c r="D16" i="10"/>
  <c r="D25" i="10"/>
  <c r="D13" i="10"/>
  <c r="D10" i="10"/>
  <c r="D23" i="10"/>
  <c r="D12" i="10"/>
  <c r="D15" i="10"/>
  <c r="D19" i="10"/>
  <c r="D11" i="10"/>
  <c r="D20" i="10"/>
  <c r="D21" i="10"/>
  <c r="D17" i="10"/>
  <c r="C30" i="10"/>
  <c r="D18" i="10"/>
  <c r="D24" i="10"/>
  <c r="D26" i="10"/>
  <c r="G625" i="1"/>
  <c r="J51" i="1"/>
  <c r="H620" i="1" s="1"/>
  <c r="J620" i="1" s="1"/>
  <c r="F671" i="1"/>
  <c r="C4" i="10" s="1"/>
  <c r="F666" i="1"/>
  <c r="C41" i="10"/>
  <c r="D36" i="10" s="1"/>
  <c r="C31" i="13"/>
  <c r="D33" i="13"/>
  <c r="D36" i="13" s="1"/>
  <c r="D39" i="10" l="1"/>
  <c r="D35" i="10"/>
  <c r="D37" i="10"/>
  <c r="D40" i="10"/>
  <c r="D38" i="10"/>
  <c r="J625" i="1"/>
  <c r="H655" i="1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<sst xmlns="http://schemas.openxmlformats.org/spreadsheetml/2006/main" count="3948" uniqueCount="915">
  <si>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</si>
  <si>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</si>
  <si>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</si>
  <si>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</si>
  <si>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</si>
  <si>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</si>
  <si>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</si>
  <si>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</si>
  <si>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</si>
  <si>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</si>
  <si>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</si>
  <si>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</si>
  <si>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</si>
  <si>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</si>
  <si>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</si>
  <si>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</si>
  <si>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</si>
  <si>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</si>
  <si>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</si>
  <si>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</si>
  <si>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</si>
  <si>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</si>
  <si>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</si>
  <si>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</si>
  <si>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</si>
  <si>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</si>
  <si>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</si>
  <si>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</si>
  <si>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</si>
  <si>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</si>
  <si>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</si>
  <si>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</si>
  <si>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</si>
  <si>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</si>
  <si>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</si>
  <si>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</si>
  <si>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</si>
  <si>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</si>
  <si>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</si>
  <si>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</si>
  <si>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</si>
  <si>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</si>
  <si>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</si>
  <si>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</si>
  <si>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</si>
  <si>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</si>
  <si>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</si>
  <si>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</si>
  <si>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</si>
  <si>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</si>
  <si>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</si>
  <si>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</si>
  <si>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</si>
  <si>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</si>
  <si>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</si>
  <si>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</si>
  <si>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</si>
  <si>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</si>
  <si>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</si>
  <si>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</si>
  <si>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</si>
  <si>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</si>
  <si>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</si>
  <si>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</si>
  <si>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</si>
  <si>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</si>
  <si>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</si>
  <si>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</si>
  <si>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</si>
  <si>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</si>
  <si>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</si>
  <si>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</si>
  <si>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</si>
  <si>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</si>
  <si>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</si>
  <si>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</si>
  <si>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</si>
  <si>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</si>
  <si>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</si>
  <si>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</si>
  <si>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</si>
  <si>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</si>
  <si>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</si>
  <si>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</si>
  <si>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</si>
  <si>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</si>
  <si>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</si>
  <si>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</si>
  <si>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</si>
  <si>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</si>
  <si>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</si>
  <si>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</si>
  <si>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</si>
  <si>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</si>
  <si>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</si>
  <si>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</si>
  <si>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</si>
  <si>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</si>
  <si>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</si>
  <si>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</si>
  <si>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</si>
  <si>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</si>
  <si>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</si>
  <si>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</si>
  <si>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</si>
  <si>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</si>
  <si>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</si>
  <si>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</si>
  <si>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</si>
  <si>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</si>
  <si>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</si>
  <si>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</si>
  <si>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</si>
  <si>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</si>
  <si>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</si>
  <si>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</si>
  <si>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</si>
  <si>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</si>
  <si>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</si>
  <si>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</si>
  <si>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</si>
  <si>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</si>
  <si>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</si>
  <si>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</si>
  <si>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</si>
  <si>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</si>
  <si>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</si>
  <si>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</si>
  <si>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</si>
  <si>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</si>
  <si>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</si>
  <si>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</si>
  <si>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</si>
  <si>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</si>
  <si>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</si>
  <si>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</si>
  <si>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</si>
  <si>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</si>
  <si>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</si>
  <si>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</si>
  <si>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</si>
  <si>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</si>
  <si>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</si>
  <si>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</si>
  <si>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</si>
  <si>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</si>
  <si>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</si>
  <si>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</si>
  <si>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</si>
  <si>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</si>
  <si>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</si>
  <si>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</si>
  <si>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</si>
  <si>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</si>
  <si>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</si>
  <si>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</si>
  <si>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</si>
  <si>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</si>
  <si>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</si>
  <si>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</si>
  <si>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</si>
  <si>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</si>
  <si>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</si>
  <si>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</si>
  <si>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</si>
  <si>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</si>
  <si>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</si>
  <si>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</si>
  <si>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</si>
  <si>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</si>
  <si>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</si>
  <si>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</si>
  <si>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</si>
  <si>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</si>
  <si>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</si>
  <si>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</si>
  <si>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</si>
  <si>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</si>
  <si>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</si>
  <si>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</si>
  <si>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</si>
  <si>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</si>
  <si>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</si>
  <si>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</si>
  <si>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</si>
  <si>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</si>
  <si>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</si>
  <si>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</si>
  <si>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</si>
  <si>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</si>
  <si>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</si>
  <si>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</si>
  <si>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</si>
  <si>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</si>
  <si>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</si>
  <si>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</si>
  <si>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</si>
  <si>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</si>
  <si>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</si>
  <si>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</si>
  <si>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</si>
  <si>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</si>
  <si>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</si>
  <si>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</si>
  <si>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</si>
  <si>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</si>
  <si>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</si>
  <si>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</si>
  <si>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</si>
  <si>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</si>
  <si>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</si>
  <si>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</si>
  <si>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</si>
  <si>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</si>
  <si>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</si>
  <si>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</si>
  <si>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</si>
  <si>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</si>
  <si>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</si>
  <si>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</si>
  <si>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</si>
  <si>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</si>
  <si>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</si>
  <si>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</si>
  <si>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</si>
  <si>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</si>
  <si>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</si>
  <si>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</si>
  <si>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</si>
  <si>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</si>
  <si>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</si>
  <si>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</si>
  <si>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</si>
  <si>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</si>
  <si>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</si>
  <si>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</si>
  <si>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</si>
  <si>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</si>
  <si>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</si>
  <si>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</si>
  <si>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</si>
  <si>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</si>
  <si>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</si>
  <si>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</si>
  <si>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</si>
  <si>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</si>
  <si>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</si>
  <si>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</si>
  <si>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</si>
  <si>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</si>
  <si>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</si>
  <si>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</si>
  <si>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</si>
  <si>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</si>
  <si>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</si>
  <si>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</si>
  <si>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</si>
  <si>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</si>
  <si>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</si>
  <si>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</si>
  <si>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</si>
  <si>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</si>
  <si>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</si>
  <si>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</si>
  <si>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</si>
  <si>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</si>
  <si>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</si>
  <si>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</si>
  <si>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</si>
  <si>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</si>
  <si>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</si>
  <si>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</si>
  <si>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</si>
  <si>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</si>
  <si>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</si>
  <si>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</si>
  <si>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</si>
  <si>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</si>
  <si>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</si>
  <si>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</si>
  <si>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</si>
  <si>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</si>
  <si>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</si>
  <si>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</si>
  <si>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</si>
  <si>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</si>
  <si>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</si>
  <si>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</si>
  <si>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</si>
  <si>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</si>
  <si>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</si>
  <si>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</si>
  <si>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</si>
  <si>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</si>
  <si>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</si>
  <si>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</si>
  <si>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</si>
  <si>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</si>
  <si>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</si>
  <si>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</si>
  <si>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</si>
  <si>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</si>
  <si>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</si>
  <si>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</si>
  <si>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</si>
  <si>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</si>
  <si>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</si>
  <si>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</si>
  <si>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</si>
  <si>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</si>
  <si>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</si>
  <si>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</si>
  <si>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</si>
  <si>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</si>
  <si>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</si>
  <si>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</si>
  <si>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</si>
  <si>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</si>
  <si>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</si>
  <si>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</si>
  <si>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</si>
  <si>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</si>
  <si>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</si>
  <si>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</si>
  <si>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</si>
  <si>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</si>
  <si>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</si>
  <si>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</si>
  <si>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</si>
  <si>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</si>
  <si>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</si>
  <si>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</si>
  <si>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</si>
  <si>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</si>
  <si>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</si>
  <si>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</si>
  <si>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</si>
  <si>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</si>
  <si>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</si>
  <si>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</si>
  <si>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</si>
  <si>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</si>
  <si>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</si>
  <si>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</si>
  <si>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</si>
  <si>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</si>
  <si>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</si>
  <si>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</si>
  <si>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</si>
  <si>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</si>
  <si>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</si>
  <si>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</si>
  <si>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</si>
  <si>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</si>
  <si>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</si>
  <si>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</si>
  <si>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</si>
  <si>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</si>
  <si>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</si>
  <si>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</si>
  <si>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</si>
  <si>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</si>
  <si>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</si>
  <si>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</si>
  <si>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</si>
  <si>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</si>
  <si>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</si>
  <si>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</si>
  <si>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</si>
  <si>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</si>
  <si>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</si>
  <si>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</si>
  <si>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</si>
  <si>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</si>
  <si>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</si>
  <si>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</si>
  <si>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</si>
  <si>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</si>
  <si>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</si>
  <si>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</si>
  <si>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</si>
  <si>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</si>
  <si>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</si>
  <si>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</si>
  <si>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</si>
  <si>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</si>
  <si>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</si>
  <si>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</si>
  <si>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</si>
  <si>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</si>
  <si>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</si>
  <si>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</si>
  <si>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</si>
  <si>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</si>
  <si>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</si>
  <si>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</si>
  <si>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</si>
  <si>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</si>
  <si>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</si>
  <si>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</si>
  <si>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</si>
  <si>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</si>
  <si>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</si>
  <si>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</si>
  <si>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</si>
  <si>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</si>
  <si>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</si>
  <si>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</si>
  <si>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</si>
  <si>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</si>
  <si>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</si>
  <si>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</si>
  <si>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</si>
  <si>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</si>
  <si>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</si>
  <si>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</si>
  <si>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</si>
  <si>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</si>
  <si>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</si>
  <si>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</si>
  <si>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</si>
  <si>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</si>
  <si>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</si>
  <si>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</si>
  <si>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</si>
  <si>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</si>
  <si>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</si>
  <si>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</si>
  <si>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</si>
  <si>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</si>
  <si>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</si>
  <si>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</si>
  <si>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</si>
  <si>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</si>
  <si>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</si>
  <si>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</si>
  <si>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</si>
  <si>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</si>
  <si>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</si>
  <si>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</si>
  <si>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</si>
  <si>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</si>
  <si>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</si>
  <si>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</si>
  <si>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</si>
  <si>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</si>
  <si>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</si>
  <si>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</si>
  <si>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</si>
  <si>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</si>
  <si>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</si>
  <si>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</si>
  <si>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</si>
  <si>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</si>
  <si>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</si>
  <si>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</si>
  <si>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</si>
  <si>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</si>
  <si>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</si>
  <si>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</si>
  <si>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</si>
  <si>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</si>
  <si>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</si>
  <si>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</si>
  <si>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</si>
  <si>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</si>
  <si>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</si>
  <si>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</si>
  <si>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</si>
  <si>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</si>
  <si>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</si>
  <si>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</si>
  <si>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</si>
  <si>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</si>
  <si>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</si>
  <si>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</si>
  <si>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</si>
  <si>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</si>
  <si>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</si>
  <si>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</si>
  <si>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</si>
  <si>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</si>
  <si>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</si>
  <si>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</si>
  <si>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</si>
  <si>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</si>
  <si>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</si>
  <si>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</si>
  <si>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</si>
  <si>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</si>
  <si>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</si>
  <si>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</si>
  <si>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</si>
  <si>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</si>
  <si>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</si>
  <si>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</si>
  <si>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</si>
  <si>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</si>
  <si>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</si>
  <si>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</si>
  <si>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</si>
  <si>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</si>
  <si>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</si>
  <si>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</si>
  <si>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</si>
  <si>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</si>
  <si>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</si>
  <si>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</si>
  <si>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</si>
  <si>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</si>
  <si>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</si>
  <si>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</si>
  <si>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</si>
  <si>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</si>
  <si>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</si>
  <si>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</si>
  <si>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</si>
  <si>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</si>
  <si>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</si>
  <si>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</si>
  <si>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</si>
  <si>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</si>
  <si>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</si>
  <si>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</si>
  <si>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</si>
  <si>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</si>
  <si>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</si>
  <si>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</si>
  <si>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</si>
  <si>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</si>
  <si>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</si>
  <si>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</si>
  <si>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</si>
  <si>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</si>
  <si>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</si>
  <si>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</si>
  <si>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</si>
  <si>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</si>
  <si>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</si>
  <si>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</si>
  <si>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</si>
  <si>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</si>
  <si>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</si>
  <si>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</si>
  <si>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</si>
  <si>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</si>
  <si>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</si>
  <si>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</si>
  <si>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</si>
  <si>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</si>
  <si>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</si>
  <si>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</si>
  <si>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</si>
  <si>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</si>
  <si>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</si>
  <si>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</si>
  <si>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</si>
  <si>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</si>
  <si>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</si>
  <si>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</si>
  <si>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</si>
  <si>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</si>
  <si>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</si>
  <si>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</si>
  <si>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</si>
  <si>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</si>
  <si>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</si>
  <si>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</si>
  <si>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</si>
  <si>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</si>
  <si>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</si>
  <si>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</si>
  <si>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</si>
  <si>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</si>
  <si>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</si>
  <si>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</si>
  <si>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</si>
  <si>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</si>
  <si>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</si>
  <si>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</si>
  <si>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</si>
  <si>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</si>
  <si>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</si>
  <si>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</si>
  <si>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</si>
  <si>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</si>
  <si>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</si>
  <si>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</si>
  <si>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</si>
  <si>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</si>
  <si>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</si>
  <si>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</si>
  <si>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</si>
  <si>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</si>
  <si>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</si>
  <si>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</si>
  <si>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</si>
  <si>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</si>
  <si>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</si>
  <si>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</si>
  <si>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</si>
  <si>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</si>
  <si>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</si>
  <si>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</si>
  <si>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</si>
  <si>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</si>
  <si>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</si>
  <si>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</si>
  <si>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</si>
  <si>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</si>
  <si>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</si>
  <si>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</si>
  <si>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</si>
  <si>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</si>
  <si>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</si>
  <si>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</si>
  <si>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</si>
  <si>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</si>
  <si>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</si>
  <si>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</si>
  <si>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</si>
  <si>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</si>
  <si>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</si>
  <si>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</si>
  <si>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</si>
  <si>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</si>
  <si>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</si>
  <si>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</si>
  <si>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</si>
  <si>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</si>
  <si>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</si>
  <si>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</si>
  <si>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</si>
  <si>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</si>
  <si>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</si>
  <si>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</si>
  <si>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</si>
  <si>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</si>
  <si>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</si>
  <si>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</si>
  <si>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</si>
  <si>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</si>
  <si>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</si>
  <si>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</si>
  <si>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</si>
  <si>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</si>
  <si>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</si>
  <si>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</si>
  <si>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</si>
  <si>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</si>
  <si>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</si>
  <si>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</si>
  <si>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</si>
  <si>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</si>
  <si>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</si>
  <si>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</si>
  <si>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</si>
  <si>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</si>
  <si>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</si>
  <si>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</si>
  <si>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</si>
  <si>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</si>
  <si>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</si>
  <si>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</si>
  <si>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</si>
  <si>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</si>
  <si>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</si>
  <si>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</si>
  <si>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</si>
  <si>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</si>
  <si>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</si>
  <si>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</si>
  <si>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</si>
  <si>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</si>
  <si>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</si>
  <si>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</si>
  <si>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</si>
  <si>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</si>
  <si>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</si>
  <si>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</si>
  <si>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</si>
  <si>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</si>
  <si>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</si>
  <si>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</si>
  <si>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</si>
  <si>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</si>
  <si>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</si>
  <si>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</si>
  <si>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</si>
  <si>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</si>
  <si>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</si>
  <si>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</si>
  <si>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</si>
  <si>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</si>
  <si>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</si>
  <si>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</si>
  <si>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</si>
  <si>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</si>
  <si>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</si>
  <si>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</si>
  <si>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</si>
  <si>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</si>
  <si>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</si>
  <si>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</si>
  <si>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</si>
  <si>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</si>
  <si>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</si>
  <si>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</si>
  <si>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</si>
  <si>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</si>
  <si>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</si>
  <si>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</si>
  <si>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</si>
  <si>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</si>
  <si>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</si>
  <si>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</si>
  <si>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</si>
  <si>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</si>
  <si>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</si>
  <si>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</si>
  <si>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</si>
  <si>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</si>
  <si>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</si>
  <si>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</si>
  <si>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</si>
  <si>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</si>
  <si>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</si>
  <si>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</si>
  <si>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</si>
  <si>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</si>
  <si>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</si>
  <si>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</si>
  <si>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</si>
  <si>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</si>
  <si>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</si>
  <si>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</si>
  <si>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</si>
  <si>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</si>
  <si>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</si>
  <si>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</si>
  <si>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</si>
  <si>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</si>
  <si>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</si>
  <si>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</si>
  <si>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</si>
  <si>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</si>
  <si>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</si>
  <si>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</si>
  <si>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</si>
  <si>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</si>
  <si>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</si>
  <si>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</si>
  <si>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</si>
  <si>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</si>
  <si>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</si>
  <si>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</si>
  <si>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</si>
  <si>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</si>
  <si>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</si>
  <si>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</si>
  <si>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</si>
  <si>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</si>
  <si>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</si>
  <si>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</si>
  <si>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</si>
  <si>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</si>
  <si>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</si>
  <si>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</si>
  <si>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</si>
  <si>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</si>
  <si>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</si>
  <si>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</si>
  <si>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</si>
  <si>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</si>
  <si>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</si>
  <si>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</si>
  <si>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</si>
  <si>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</si>
  <si>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</si>
  <si>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</si>
  <si>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</si>
  <si>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</si>
  <si>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</si>
  <si>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</si>
  <si>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</si>
  <si>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</si>
  <si>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</si>
  <si>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</si>
  <si>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</si>
  <si>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</si>
  <si>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</si>
  <si>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</si>
  <si>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</si>
  <si>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</si>
  <si>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</si>
  <si>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</si>
  <si>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</si>
  <si>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</si>
  <si>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</si>
  <si>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</si>
  <si>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</si>
  <si>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</si>
  <si>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</si>
  <si>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</si>
  <si>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</si>
  <si>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</si>
  <si>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</si>
  <si>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</si>
  <si>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</si>
  <si>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</si>
  <si>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</si>
  <si>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</si>
  <si>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</si>
  <si>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</si>
  <si>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</si>
  <si>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</si>
  <si>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</si>
  <si>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</si>
  <si>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</si>
  <si>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</si>
  <si>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</si>
  <si>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</si>
  <si>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</si>
  <si>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</si>
  <si>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</si>
  <si>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</si>
  <si>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</si>
  <si>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</si>
  <si>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</si>
  <si>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</si>
  <si>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</si>
  <si>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</si>
  <si>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</si>
  <si>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</si>
  <si>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</si>
  <si>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</si>
  <si>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</si>
  <si>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</si>
  <si>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</si>
  <si>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</si>
  <si>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</si>
  <si>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</si>
  <si>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</si>
  <si>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</si>
  <si>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</si>
  <si>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</si>
  <si>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</si>
  <si>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</si>
  <si>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</si>
  <si>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</si>
  <si>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</si>
  <si>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</si>
  <si>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</si>
  <si>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</si>
  <si>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</si>
  <si>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</si>
  <si>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</si>
  <si>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</si>
  <si>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</si>
  <si>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</si>
  <si>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</si>
  <si>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</si>
  <si>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</si>
  <si>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</si>
  <si>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</si>
  <si>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</si>
  <si>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</si>
  <si>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</si>
  <si>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</si>
  <si>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</si>
  <si>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</si>
  <si>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</si>
  <si>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</si>
  <si>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</si>
  <si>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</si>
  <si>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</si>
  <si>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</si>
  <si>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</si>
  <si>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</si>
  <si>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</si>
  <si>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</si>
  <si>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</si>
  <si>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</si>
  <si>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</si>
  <si>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</si>
  <si>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</si>
  <si>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</si>
  <si>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</si>
  <si>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</si>
  <si>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</si>
  <si>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</si>
  <si>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</si>
  <si>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</si>
  <si>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</si>
  <si>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</si>
  <si>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</si>
  <si>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</si>
  <si>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</si>
  <si>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</si>
  <si>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</si>
  <si>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</si>
  <si>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</si>
  <si>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</si>
  <si>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</si>
  <si>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</si>
  <si>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</si>
  <si>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</si>
  <si>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</si>
  <si>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</si>
  <si>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Littleton School District - SAU 84</t>
  </si>
  <si>
    <t>08/02</t>
  </si>
  <si>
    <t>06/10</t>
  </si>
  <si>
    <t>08/22</t>
  </si>
  <si>
    <t>03/27</t>
  </si>
  <si>
    <t>before 100% Fed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</si>
</sst>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80" zoomScaleNormal="80" workbookViewId="0">
      <selection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2" t="s">
        <v>909</v>
      </c>
      <c r="B2" s="21">
        <v>317</v>
      </c>
      <c r="C2" s="21">
        <v>317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2" t="s">
        <v>281</v>
      </c>
      <c r="G6" s="222" t="s">
        <v>282</v>
      </c>
      <c r="H6" s="222" t="s">
        <v>283</v>
      </c>
      <c r="I6" s="222" t="s">
        <v>284</v>
      </c>
      <c r="J6" s="222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2"/>
      <c r="G7" s="223"/>
      <c r="H7" s="222" t="s">
        <v>772</v>
      </c>
      <c r="I7" s="223"/>
      <c r="J7" s="223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2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1017455.69</v>
      </c>
      <c r="G9"/>
      <c r="H9" s="18">
        <v>0</v>
      </c>
      <c r="I9" s="18">
        <v>12663.99</v>
      </c>
      <c r="J9" s="66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SUM(I439)</f>
        <v>537796.68999999994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329784.97000000003</v>
      </c>
      <c r="J12" s="66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-4336.7899999999991</v>
      </c>
      <c r="G13" s="18">
        <v>9028.75</v>
      </c>
      <c r="H13" s="18">
        <v>294163.25</v>
      </c>
      <c r="I13" s="18">
        <v>19831</v>
      </c>
      <c r="J13" s="66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131063.85</v>
      </c>
      <c r="G14" s="18">
        <v>824.85</v>
      </c>
      <c r="H14" s="18">
        <v>0</v>
      </c>
      <c r="I14" s="18">
        <v>0</v>
      </c>
      <c r="J14" s="66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12122.81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1144182.75</v>
      </c>
      <c r="G19" s="41">
        <f>SUM(G9:G18)</f>
        <v>21976.41</v>
      </c>
      <c r="H19" s="41">
        <f>SUM(H9:H18)</f>
        <v>294163.25</v>
      </c>
      <c r="I19" s="41">
        <f>SUM(I9:I18)</f>
        <v>362279.96</v>
      </c>
      <c r="J19" s="41">
        <f>SUM(J9:J18)</f>
        <v>537796.68999999994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5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77955.360000000001</v>
      </c>
      <c r="G22" s="18">
        <v>11110.58</v>
      </c>
      <c r="H22" s="18">
        <v>270994.7</v>
      </c>
      <c r="I22" s="18">
        <v>0</v>
      </c>
      <c r="J22" s="66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220652.94</v>
      </c>
      <c r="G24" s="18">
        <v>189.46</v>
      </c>
      <c r="H24" s="18">
        <v>1239.98</v>
      </c>
      <c r="I24" s="18">
        <v>-12890.54</v>
      </c>
      <c r="J24" s="66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571.27</v>
      </c>
      <c r="G29" s="18">
        <v>3.06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3741.47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299179.57</v>
      </c>
      <c r="G32" s="41">
        <f>SUM(G22:G31)</f>
        <v>15044.569999999998</v>
      </c>
      <c r="H32" s="41">
        <f>SUM(H22:H31)</f>
        <v>272234.68</v>
      </c>
      <c r="I32" s="41">
        <f>SUM(I22:I31)</f>
        <v>-12890.54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12122.81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-5190.9699999999975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21928.570000000007</v>
      </c>
      <c r="I43" s="18">
        <v>375170.5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55000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40000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34121.080000000075</v>
      </c>
      <c r="G47" s="18">
        <v>0</v>
      </c>
      <c r="H47" s="18">
        <v>0</v>
      </c>
      <c r="I47" s="18">
        <v>0</v>
      </c>
      <c r="J47" s="13">
        <f>SUM(I458)</f>
        <v>537796.68999999994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0">
        <v>34</v>
      </c>
      <c r="D49" s="2" t="s">
        <v>657</v>
      </c>
      <c r="E49" s="6">
        <v>770</v>
      </c>
      <c r="F49" s="18">
        <v>715882.09999999986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845003.17999999993</v>
      </c>
      <c r="G50" s="41">
        <f>SUM(G35:G49)</f>
        <v>6931.840000000002</v>
      </c>
      <c r="H50" s="41">
        <f>SUM(H35:H49)</f>
        <v>21928.570000000007</v>
      </c>
      <c r="I50" s="41">
        <f>SUM(I35:I49)</f>
        <v>375170.5</v>
      </c>
      <c r="J50" s="41">
        <f>SUM(J35:J49)</f>
        <v>537796.68999999994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1144182.75</v>
      </c>
      <c r="G51" s="41">
        <f>G50+G32</f>
        <v>21976.41</v>
      </c>
      <c r="H51" s="41">
        <f>H50+H32</f>
        <v>294163.25</v>
      </c>
      <c r="I51" s="41">
        <f>I50+I32</f>
        <v>362279.96</v>
      </c>
      <c r="J51" s="41">
        <f>J50+J32</f>
        <v>537796.68999999994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7574836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7574836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12361.21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91476.62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f>75022.55-F68</f>
        <v>62661.340000000004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166499.16999999998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66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2491.71</v>
      </c>
      <c r="G95" s="18">
        <v>0</v>
      </c>
      <c r="H95" s="18">
        <v>0</v>
      </c>
      <c r="I95" s="18">
        <v>10.67</v>
      </c>
      <c r="J95" s="18">
        <v>877.22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199476.21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135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85221.34</v>
      </c>
      <c r="G109" s="18">
        <v>3760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87848.05</v>
      </c>
      <c r="G110" s="41">
        <f>SUM(G95:G109)</f>
        <v>203236.21</v>
      </c>
      <c r="H110" s="41">
        <f>SUM(H95:H109)</f>
        <v>0</v>
      </c>
      <c r="I110" s="41">
        <f>SUM(I95:I109)</f>
        <v>10.67</v>
      </c>
      <c r="J110" s="41">
        <f>SUM(J95:J109)</f>
        <v>877.22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7829183.2199999997</v>
      </c>
      <c r="G111" s="41">
        <f>G59+G110</f>
        <v>203236.21</v>
      </c>
      <c r="H111" s="41">
        <f>H59+H78+H93+H110</f>
        <v>0</v>
      </c>
      <c r="I111" s="41">
        <f>I59+I110</f>
        <v>10.67</v>
      </c>
      <c r="J111" s="41">
        <f>J59+J110</f>
        <v>877.22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3859666.86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1223858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3344.14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12887.65</v>
      </c>
      <c r="G119" s="18">
        <v>0</v>
      </c>
      <c r="H119" s="18">
        <v>0</v>
      </c>
      <c r="I119" s="18">
        <v>2494064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5099756.6499999994</v>
      </c>
      <c r="G120" s="41">
        <f>SUM(G116:G119)</f>
        <v>0</v>
      </c>
      <c r="H120" s="41">
        <f>SUM(H116:H119)</f>
        <v>0</v>
      </c>
      <c r="I120" s="41">
        <f>SUM(I116:I119)</f>
        <v>2494064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220141.2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226.06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217771.62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18690.060000000001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4669.58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456828.94</v>
      </c>
      <c r="G135" s="41">
        <f>SUM(G122:G134)</f>
        <v>4669.58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5556585.5899999999</v>
      </c>
      <c r="G139" s="41">
        <f>G120+SUM(G135:G136)</f>
        <v>4669.58</v>
      </c>
      <c r="H139" s="41">
        <f>H120+SUM(H135:H138)</f>
        <v>0</v>
      </c>
      <c r="I139" s="41">
        <f>I120+I135</f>
        <v>2494064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1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217234.24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217234.24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774724.66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146304.9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28969.27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4136.6400000000003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223071.78999999998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233083.14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95578.99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1605.44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95578.99</v>
      </c>
      <c r="G161" s="41">
        <f>SUM(G149:G160)</f>
        <v>223071.78999999998</v>
      </c>
      <c r="H161" s="41">
        <f>SUM(H149:H160)</f>
        <v>1188824.05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2044.3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314857.52999999997</v>
      </c>
      <c r="G168" s="41">
        <f>G146+G161+SUM(G162:G167)</f>
        <v>223071.78999999998</v>
      </c>
      <c r="H168" s="41">
        <f>H146+H161+SUM(H162:H167)</f>
        <v>1188824.05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1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15000</v>
      </c>
      <c r="H178" s="18">
        <v>0</v>
      </c>
      <c r="I178" s="18">
        <v>0</v>
      </c>
      <c r="J178" s="18">
        <v>82492.95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15000</v>
      </c>
      <c r="H182" s="41">
        <f>SUM(H178:H181)</f>
        <v>0</v>
      </c>
      <c r="I182" s="41">
        <f>SUM(I178:I181)</f>
        <v>0</v>
      </c>
      <c r="J182" s="41">
        <f>SUM(J178:J181)</f>
        <v>82492.95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2" t="s">
        <v>431</v>
      </c>
      <c r="E191" s="51">
        <v>5000</v>
      </c>
      <c r="F191" s="41">
        <f>F176+F182+SUM(F187:F190)</f>
        <v>0</v>
      </c>
      <c r="G191" s="41">
        <f>G182+SUM(G187:G190)</f>
        <v>15000</v>
      </c>
      <c r="H191" s="41">
        <f>+H182+SUM(H187:H190)</f>
        <v>0</v>
      </c>
      <c r="I191" s="41">
        <f>I176+I182+SUM(I187:I190)</f>
        <v>0</v>
      </c>
      <c r="J191" s="41">
        <f>J182</f>
        <v>82492.95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3" t="s">
        <v>431</v>
      </c>
      <c r="E192" s="44"/>
      <c r="F192" s="47">
        <f>F111+F139+F168+F191</f>
        <v>13700626.339999998</v>
      </c>
      <c r="G192" s="47">
        <f>G111+G139+G168+G191</f>
        <v>445977.57999999996</v>
      </c>
      <c r="H192" s="47">
        <f>H111+H139+H168+H191</f>
        <v>1188824.05</v>
      </c>
      <c r="I192" s="47">
        <f>I111+I139+I168+I191</f>
        <v>2494074.67</v>
      </c>
      <c r="J192" s="47">
        <f>J111+J139+J191</f>
        <v>83370.17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3" t="s">
        <v>693</v>
      </c>
      <c r="G193" s="173" t="s">
        <v>694</v>
      </c>
      <c r="H193" s="173" t="s">
        <v>695</v>
      </c>
      <c r="I193" s="173" t="s">
        <v>696</v>
      </c>
      <c r="J193" s="173" t="s">
        <v>697</v>
      </c>
      <c r="K193" s="173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1790254.9000000001</v>
      </c>
      <c r="G196" s="18">
        <v>981500.97</v>
      </c>
      <c r="H196" s="18">
        <v>567</v>
      </c>
      <c r="I196" s="18">
        <v>62676.720000000008</v>
      </c>
      <c r="J196" s="18">
        <v>7136.4299999999994</v>
      </c>
      <c r="K196" s="18">
        <v>0</v>
      </c>
      <c r="L196" s="19">
        <f>SUM(F196:K196)</f>
        <v>2842136.0200000005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638712.72</v>
      </c>
      <c r="G197" s="18">
        <v>369838.55000000005</v>
      </c>
      <c r="H197" s="18">
        <v>27571.58</v>
      </c>
      <c r="I197" s="18">
        <v>5305.05</v>
      </c>
      <c r="J197" s="18">
        <v>296.69</v>
      </c>
      <c r="K197" s="18">
        <v>719.17</v>
      </c>
      <c r="L197" s="19">
        <f>SUM(F197:K197)</f>
        <v>1042443.76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3329.2</v>
      </c>
      <c r="G199" s="18">
        <v>521.34999999999991</v>
      </c>
      <c r="H199" s="18">
        <v>0</v>
      </c>
      <c r="I199" s="18">
        <v>0</v>
      </c>
      <c r="J199" s="18">
        <v>0</v>
      </c>
      <c r="K199" s="18">
        <v>3125</v>
      </c>
      <c r="L199" s="19">
        <f>SUM(F199:K199)</f>
        <v>6975.5499999999993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192073.43999999997</v>
      </c>
      <c r="G201" s="18">
        <v>95923.069999999992</v>
      </c>
      <c r="H201" s="18">
        <v>58423.5</v>
      </c>
      <c r="I201" s="18">
        <v>4271.0099999999993</v>
      </c>
      <c r="J201" s="18">
        <v>1918.72</v>
      </c>
      <c r="K201" s="18">
        <v>991.26</v>
      </c>
      <c r="L201" s="19">
        <f t="shared" ref="L201:L207" si="0">SUM(F201:K201)</f>
        <v>353600.99999999994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263</v>
      </c>
      <c r="H202" s="18">
        <v>2939.68</v>
      </c>
      <c r="I202" s="18">
        <v>310.43</v>
      </c>
      <c r="J202" s="18">
        <v>0</v>
      </c>
      <c r="K202" s="18">
        <v>6568.06</v>
      </c>
      <c r="L202" s="19">
        <f t="shared" si="0"/>
        <v>10081.17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142136.95000000001</v>
      </c>
      <c r="G203" s="18">
        <v>47688.160000000003</v>
      </c>
      <c r="H203" s="18">
        <v>83735.01999999999</v>
      </c>
      <c r="I203" s="18">
        <v>4309.5600000000004</v>
      </c>
      <c r="J203" s="18">
        <v>4141</v>
      </c>
      <c r="K203" s="18">
        <v>4223.7300000000005</v>
      </c>
      <c r="L203" s="19">
        <f t="shared" si="0"/>
        <v>286234.42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255674.05</v>
      </c>
      <c r="G204" s="18">
        <v>102805.10999999999</v>
      </c>
      <c r="H204" s="18">
        <v>4004.45</v>
      </c>
      <c r="I204" s="18">
        <v>11179</v>
      </c>
      <c r="J204" s="18">
        <v>830.78</v>
      </c>
      <c r="K204" s="18">
        <v>2932.42</v>
      </c>
      <c r="L204" s="19">
        <f t="shared" si="0"/>
        <v>377425.81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60851.96</v>
      </c>
      <c r="G205" s="18">
        <v>25984.120000000003</v>
      </c>
      <c r="H205" s="18">
        <v>5444.86</v>
      </c>
      <c r="I205" s="18">
        <v>376.17</v>
      </c>
      <c r="J205" s="18">
        <v>0</v>
      </c>
      <c r="K205" s="18">
        <v>236.01</v>
      </c>
      <c r="L205" s="19">
        <f t="shared" si="0"/>
        <v>92893.119999999995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137839.84</v>
      </c>
      <c r="G206" s="18">
        <v>95839.72</v>
      </c>
      <c r="H206" s="18">
        <v>146885.78999999998</v>
      </c>
      <c r="I206" s="18">
        <v>159335.67999999999</v>
      </c>
      <c r="J206" s="18">
        <v>5755.5</v>
      </c>
      <c r="K206" s="18">
        <v>0</v>
      </c>
      <c r="L206" s="19">
        <f t="shared" si="0"/>
        <v>545656.53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18589.27</v>
      </c>
      <c r="G207" s="18">
        <v>14240.85</v>
      </c>
      <c r="H207" s="18">
        <v>119972.45</v>
      </c>
      <c r="I207" s="18">
        <v>4950.54</v>
      </c>
      <c r="J207" s="18">
        <v>0</v>
      </c>
      <c r="K207" s="18">
        <v>0</v>
      </c>
      <c r="L207" s="19">
        <f t="shared" si="0"/>
        <v>157753.11000000002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27848.45</v>
      </c>
      <c r="G208" s="18">
        <v>9093.52</v>
      </c>
      <c r="H208" s="18">
        <v>48029.71</v>
      </c>
      <c r="I208" s="18">
        <v>10242.279999999999</v>
      </c>
      <c r="J208" s="18">
        <v>23018.77</v>
      </c>
      <c r="K208" s="18">
        <v>0</v>
      </c>
      <c r="L208" s="19">
        <f>SUM(F208:K208)</f>
        <v>118232.73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3267310.7800000003</v>
      </c>
      <c r="G210" s="41">
        <f t="shared" si="1"/>
        <v>1743698.4200000002</v>
      </c>
      <c r="H210" s="41">
        <f t="shared" si="1"/>
        <v>497574.04</v>
      </c>
      <c r="I210" s="41">
        <f t="shared" si="1"/>
        <v>262956.44</v>
      </c>
      <c r="J210" s="41">
        <f t="shared" si="1"/>
        <v>43097.89</v>
      </c>
      <c r="K210" s="41">
        <f t="shared" si="1"/>
        <v>18795.649999999998</v>
      </c>
      <c r="L210" s="41">
        <f t="shared" si="1"/>
        <v>5833433.2200000007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3" t="s">
        <v>693</v>
      </c>
      <c r="G211" s="173" t="s">
        <v>694</v>
      </c>
      <c r="H211" s="173" t="s">
        <v>695</v>
      </c>
      <c r="I211" s="173" t="s">
        <v>696</v>
      </c>
      <c r="J211" s="173" t="s">
        <v>697</v>
      </c>
      <c r="K211" s="173" t="s">
        <v>698</v>
      </c>
      <c r="L211" s="66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444166.44</v>
      </c>
      <c r="G214" s="18">
        <v>264726.42</v>
      </c>
      <c r="H214" s="18">
        <v>0</v>
      </c>
      <c r="I214" s="18">
        <v>18157.420000000002</v>
      </c>
      <c r="J214" s="18">
        <v>699</v>
      </c>
      <c r="K214" s="18">
        <v>0</v>
      </c>
      <c r="L214" s="19">
        <f>SUM(F214:K214)</f>
        <v>727749.28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231337.75</v>
      </c>
      <c r="G215" s="18">
        <v>133072.04</v>
      </c>
      <c r="H215" s="18">
        <v>38610.620000000003</v>
      </c>
      <c r="I215" s="18">
        <v>3377.0699999999997</v>
      </c>
      <c r="J215" s="18">
        <v>4555.7700000000004</v>
      </c>
      <c r="K215" s="18">
        <v>715.48</v>
      </c>
      <c r="L215" s="19">
        <f>SUM(F215:K215)</f>
        <v>411668.73000000004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51073.47</v>
      </c>
      <c r="G216" s="18">
        <v>16918.36</v>
      </c>
      <c r="H216" s="18">
        <v>0</v>
      </c>
      <c r="I216" s="18">
        <v>619.29999999999995</v>
      </c>
      <c r="J216" s="18">
        <v>0</v>
      </c>
      <c r="K216" s="18">
        <v>0</v>
      </c>
      <c r="L216" s="19">
        <f>SUM(F216:K216)</f>
        <v>68611.13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26721.26</v>
      </c>
      <c r="G217" s="18">
        <v>3077.34</v>
      </c>
      <c r="H217" s="18">
        <v>6921</v>
      </c>
      <c r="I217" s="18">
        <v>0</v>
      </c>
      <c r="J217" s="18">
        <v>6015.84</v>
      </c>
      <c r="K217" s="18">
        <v>6919.2</v>
      </c>
      <c r="L217" s="19">
        <f>SUM(F217:K217)</f>
        <v>49654.64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76724.420000000013</v>
      </c>
      <c r="G219" s="18">
        <v>41089.760000000009</v>
      </c>
      <c r="H219" s="18">
        <v>14760</v>
      </c>
      <c r="I219" s="18">
        <v>2855.4399999999996</v>
      </c>
      <c r="J219" s="18">
        <v>0</v>
      </c>
      <c r="K219" s="18">
        <v>794.64</v>
      </c>
      <c r="L219" s="19">
        <f t="shared" ref="L219:L225" si="2">SUM(F219:K219)</f>
        <v>136224.26000000004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113</v>
      </c>
      <c r="H220" s="18">
        <v>0</v>
      </c>
      <c r="I220" s="18">
        <v>485.48</v>
      </c>
      <c r="J220" s="18">
        <v>0</v>
      </c>
      <c r="K220" s="18">
        <v>3771.18</v>
      </c>
      <c r="L220" s="19">
        <f t="shared" si="2"/>
        <v>4369.66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56854.770000000004</v>
      </c>
      <c r="G221" s="18">
        <v>19075.240000000002</v>
      </c>
      <c r="H221" s="18">
        <v>33493.99</v>
      </c>
      <c r="I221" s="18">
        <v>1723.8300000000002</v>
      </c>
      <c r="J221" s="18">
        <v>1656.4</v>
      </c>
      <c r="K221" s="18">
        <v>1689.5</v>
      </c>
      <c r="L221" s="19">
        <f t="shared" si="2"/>
        <v>114493.73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98366.49</v>
      </c>
      <c r="G222" s="18">
        <v>48902.93</v>
      </c>
      <c r="H222" s="18">
        <v>1391.57</v>
      </c>
      <c r="I222" s="18">
        <v>5092.7999999999993</v>
      </c>
      <c r="J222" s="18">
        <v>0</v>
      </c>
      <c r="K222" s="18">
        <v>1751.3200000000002</v>
      </c>
      <c r="L222" s="19">
        <f t="shared" si="2"/>
        <v>155505.11000000002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24340.78</v>
      </c>
      <c r="G223" s="18">
        <v>10393.64</v>
      </c>
      <c r="H223" s="18">
        <v>2177.94</v>
      </c>
      <c r="I223" s="18">
        <v>150.47</v>
      </c>
      <c r="J223" s="18">
        <v>0</v>
      </c>
      <c r="K223" s="18">
        <v>94.4</v>
      </c>
      <c r="L223" s="19">
        <f t="shared" si="2"/>
        <v>37157.230000000003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38018.51</v>
      </c>
      <c r="G224" s="18">
        <v>26984.3</v>
      </c>
      <c r="H224" s="18">
        <v>16522.349999999999</v>
      </c>
      <c r="I224" s="18">
        <v>30750.15</v>
      </c>
      <c r="J224" s="18">
        <v>633</v>
      </c>
      <c r="K224" s="18">
        <v>0</v>
      </c>
      <c r="L224" s="19">
        <f t="shared" si="2"/>
        <v>112908.31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66899.070000000007</v>
      </c>
      <c r="I225" s="18">
        <v>0</v>
      </c>
      <c r="J225" s="18">
        <v>0</v>
      </c>
      <c r="K225" s="18">
        <v>0</v>
      </c>
      <c r="L225" s="19">
        <f t="shared" si="2"/>
        <v>66899.070000000007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11139.38</v>
      </c>
      <c r="G226" s="18">
        <v>3637.4100000000003</v>
      </c>
      <c r="H226" s="18">
        <v>19211.88</v>
      </c>
      <c r="I226" s="18">
        <v>4096.8999999999996</v>
      </c>
      <c r="J226" s="18">
        <v>9207.51</v>
      </c>
      <c r="K226" s="18">
        <v>0</v>
      </c>
      <c r="L226" s="19">
        <f>SUM(F226:K226)</f>
        <v>47293.08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1058743.27</v>
      </c>
      <c r="G228" s="41">
        <f>SUM(G214:G227)</f>
        <v>567990.44000000006</v>
      </c>
      <c r="H228" s="41">
        <f>SUM(H214:H227)</f>
        <v>199988.42</v>
      </c>
      <c r="I228" s="41">
        <f>SUM(I214:I227)</f>
        <v>67308.86</v>
      </c>
      <c r="J228" s="41">
        <f>SUM(J214:J227)</f>
        <v>22767.52</v>
      </c>
      <c r="K228" s="41">
        <f t="shared" si="3"/>
        <v>15735.72</v>
      </c>
      <c r="L228" s="41">
        <f t="shared" si="3"/>
        <v>1932534.2300000002</v>
      </c>
      <c r="M228" s="8"/>
    </row>
    <row r="229" spans="1:13" s="3" customFormat="1" ht="12" customHeight="1" x14ac:dyDescent="0.15">
      <c r="A229" s="55" t="s">
        <v>466</v>
      </c>
      <c r="B229" s="36"/>
      <c r="C229" s="74"/>
      <c r="D229" s="74"/>
      <c r="E229" s="74"/>
      <c r="F229" s="173" t="s">
        <v>693</v>
      </c>
      <c r="G229" s="173" t="s">
        <v>694</v>
      </c>
      <c r="H229" s="173" t="s">
        <v>695</v>
      </c>
      <c r="I229" s="173" t="s">
        <v>696</v>
      </c>
      <c r="J229" s="173" t="s">
        <v>697</v>
      </c>
      <c r="K229" s="173" t="s">
        <v>698</v>
      </c>
      <c r="L229" s="66"/>
      <c r="M229" s="8"/>
    </row>
    <row r="230" spans="1:13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1031208.21</v>
      </c>
      <c r="G232" s="18">
        <v>498462.89</v>
      </c>
      <c r="H232" s="18">
        <v>44865.27</v>
      </c>
      <c r="I232" s="18">
        <v>59757.469999999994</v>
      </c>
      <c r="J232" s="18">
        <v>5875.63</v>
      </c>
      <c r="K232" s="18">
        <v>0</v>
      </c>
      <c r="L232" s="19">
        <f>SUM(F232:K232)</f>
        <v>1640169.47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341865.11000000004</v>
      </c>
      <c r="G233" s="18">
        <v>169656.35000000003</v>
      </c>
      <c r="H233" s="18">
        <v>161601.07</v>
      </c>
      <c r="I233" s="18">
        <v>5918.23</v>
      </c>
      <c r="J233" s="18">
        <v>0</v>
      </c>
      <c r="K233" s="18">
        <v>88.63</v>
      </c>
      <c r="L233" s="19">
        <f>SUM(F233:K233)</f>
        <v>679129.39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628319.14</v>
      </c>
      <c r="G234" s="18">
        <v>272524.51</v>
      </c>
      <c r="H234" s="18">
        <v>29264.240000000002</v>
      </c>
      <c r="I234" s="18">
        <v>27002.590000000004</v>
      </c>
      <c r="J234" s="18">
        <v>4732.05</v>
      </c>
      <c r="K234" s="18">
        <v>5007.42</v>
      </c>
      <c r="L234" s="19">
        <f>SUM(F234:K234)</f>
        <v>966849.95000000007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114617.96</v>
      </c>
      <c r="G235" s="18">
        <v>17938.599999999999</v>
      </c>
      <c r="H235" s="18">
        <v>27129.32</v>
      </c>
      <c r="I235" s="18">
        <v>4148.62</v>
      </c>
      <c r="J235" s="18">
        <v>12639.69</v>
      </c>
      <c r="K235" s="18">
        <v>10030.040000000001</v>
      </c>
      <c r="L235" s="19">
        <f>SUM(F235:K235)</f>
        <v>186504.23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140862.13</v>
      </c>
      <c r="G237" s="18">
        <v>63838.39</v>
      </c>
      <c r="H237" s="18">
        <v>23670.55</v>
      </c>
      <c r="I237" s="18">
        <v>2119.9699999999998</v>
      </c>
      <c r="J237" s="18">
        <v>489.95</v>
      </c>
      <c r="K237" s="18">
        <v>1351.07</v>
      </c>
      <c r="L237" s="19">
        <f t="shared" ref="L237:L243" si="4">SUM(F237:K237)</f>
        <v>232332.06000000003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63305</v>
      </c>
      <c r="G238" s="18">
        <v>32765.37</v>
      </c>
      <c r="H238" s="18">
        <v>397.5</v>
      </c>
      <c r="I238" s="18">
        <v>8132.78</v>
      </c>
      <c r="J238" s="18">
        <v>0</v>
      </c>
      <c r="K238" s="18">
        <v>6272.33</v>
      </c>
      <c r="L238" s="19">
        <f t="shared" si="4"/>
        <v>110872.98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85282.16</v>
      </c>
      <c r="G239" s="18">
        <v>28612.860000000004</v>
      </c>
      <c r="H239" s="18">
        <v>50240.939999999995</v>
      </c>
      <c r="I239" s="18">
        <v>2585.7299999999996</v>
      </c>
      <c r="J239" s="18">
        <v>2484.59</v>
      </c>
      <c r="K239" s="18">
        <v>2534.2099999999996</v>
      </c>
      <c r="L239" s="19">
        <f t="shared" si="4"/>
        <v>171740.49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176230.58000000002</v>
      </c>
      <c r="G240" s="18">
        <v>66961.740000000005</v>
      </c>
      <c r="H240" s="18">
        <v>12895.3</v>
      </c>
      <c r="I240" s="18">
        <v>10421.540000000001</v>
      </c>
      <c r="J240" s="18">
        <v>1079.98</v>
      </c>
      <c r="K240" s="18">
        <v>7431.74</v>
      </c>
      <c r="L240" s="19">
        <f t="shared" si="4"/>
        <v>275020.87999999995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36511.170000000013</v>
      </c>
      <c r="G241" s="18">
        <v>15590.459999999997</v>
      </c>
      <c r="H241" s="18">
        <v>3266.91</v>
      </c>
      <c r="I241" s="18">
        <v>225.69000000000003</v>
      </c>
      <c r="J241" s="18">
        <v>0</v>
      </c>
      <c r="K241" s="18">
        <v>141.60000000000002</v>
      </c>
      <c r="L241" s="19">
        <f t="shared" si="4"/>
        <v>55735.830000000009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196313.36</v>
      </c>
      <c r="G242" s="18">
        <v>90343.680000000008</v>
      </c>
      <c r="H242" s="18">
        <v>60170.810000000005</v>
      </c>
      <c r="I242" s="18">
        <v>297666.58</v>
      </c>
      <c r="J242" s="18">
        <v>4869.3</v>
      </c>
      <c r="K242" s="18">
        <v>479.95</v>
      </c>
      <c r="L242" s="19">
        <f t="shared" si="4"/>
        <v>649843.67999999993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134627.81</v>
      </c>
      <c r="I243" s="18">
        <v>0</v>
      </c>
      <c r="J243" s="18">
        <v>0</v>
      </c>
      <c r="K243" s="18">
        <v>0</v>
      </c>
      <c r="L243" s="19">
        <f t="shared" si="4"/>
        <v>134627.81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16709.059999999998</v>
      </c>
      <c r="G244" s="18">
        <v>5456.09</v>
      </c>
      <c r="H244" s="18">
        <v>28817.810000000005</v>
      </c>
      <c r="I244" s="18">
        <v>6145.3600000000015</v>
      </c>
      <c r="J244" s="18">
        <v>13811.240000000002</v>
      </c>
      <c r="K244" s="18">
        <v>0</v>
      </c>
      <c r="L244" s="19">
        <f>SUM(F244:K244)</f>
        <v>70939.560000000012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2831223.88</v>
      </c>
      <c r="G246" s="41">
        <f t="shared" si="5"/>
        <v>1262150.9400000002</v>
      </c>
      <c r="H246" s="41">
        <f t="shared" si="5"/>
        <v>576947.53</v>
      </c>
      <c r="I246" s="41">
        <f t="shared" si="5"/>
        <v>424124.56</v>
      </c>
      <c r="J246" s="41">
        <f t="shared" si="5"/>
        <v>45982.430000000008</v>
      </c>
      <c r="K246" s="41">
        <f t="shared" si="5"/>
        <v>33336.989999999991</v>
      </c>
      <c r="L246" s="41">
        <f t="shared" si="5"/>
        <v>5173766.3299999991</v>
      </c>
      <c r="M246" s="8"/>
    </row>
    <row r="247" spans="1:13" s="3" customFormat="1" ht="12" customHeight="1" x14ac:dyDescent="0.15">
      <c r="A247" s="69"/>
      <c r="B247" s="36"/>
      <c r="C247" s="37"/>
      <c r="D247" s="37"/>
      <c r="E247" s="37"/>
      <c r="F247" s="173" t="s">
        <v>693</v>
      </c>
      <c r="G247" s="173" t="s">
        <v>694</v>
      </c>
      <c r="H247" s="173" t="s">
        <v>695</v>
      </c>
      <c r="I247" s="173" t="s">
        <v>696</v>
      </c>
      <c r="J247" s="173" t="s">
        <v>697</v>
      </c>
      <c r="K247" s="173" t="s">
        <v>698</v>
      </c>
      <c r="L247" s="66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7157277.9300000006</v>
      </c>
      <c r="G256" s="41">
        <f t="shared" si="8"/>
        <v>3573839.8000000007</v>
      </c>
      <c r="H256" s="41">
        <f t="shared" si="8"/>
        <v>1274509.99</v>
      </c>
      <c r="I256" s="41">
        <f t="shared" si="8"/>
        <v>754389.86</v>
      </c>
      <c r="J256" s="41">
        <f t="shared" si="8"/>
        <v>111847.84000000001</v>
      </c>
      <c r="K256" s="41">
        <f t="shared" si="8"/>
        <v>67868.359999999986</v>
      </c>
      <c r="L256" s="41">
        <f t="shared" si="8"/>
        <v>12939733.780000001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560640</v>
      </c>
      <c r="L259" s="19">
        <f>SUM(F259:K259)</f>
        <v>560640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356192.25</v>
      </c>
      <c r="L260" s="19">
        <f>SUM(F260:K260)</f>
        <v>356192.25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15000</v>
      </c>
      <c r="L262" s="19">
        <f>SUM(F262:K262)</f>
        <v>15000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82492.95</v>
      </c>
      <c r="L265" s="19">
        <f t="shared" si="9"/>
        <v>82492.95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1014325.2</v>
      </c>
      <c r="L269" s="41">
        <f t="shared" si="9"/>
        <v>1014325.2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7157277.9300000006</v>
      </c>
      <c r="G270" s="42">
        <f t="shared" si="11"/>
        <v>3573839.8000000007</v>
      </c>
      <c r="H270" s="42">
        <f t="shared" si="11"/>
        <v>1274509.99</v>
      </c>
      <c r="I270" s="42">
        <f t="shared" si="11"/>
        <v>754389.86</v>
      </c>
      <c r="J270" s="42">
        <f t="shared" si="11"/>
        <v>111847.84000000001</v>
      </c>
      <c r="K270" s="42">
        <f t="shared" si="11"/>
        <v>1082193.56</v>
      </c>
      <c r="L270" s="42">
        <f t="shared" si="11"/>
        <v>13954058.98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3" t="s">
        <v>693</v>
      </c>
      <c r="G272" s="173" t="s">
        <v>694</v>
      </c>
      <c r="H272" s="173" t="s">
        <v>695</v>
      </c>
      <c r="I272" s="173" t="s">
        <v>696</v>
      </c>
      <c r="J272" s="173" t="s">
        <v>697</v>
      </c>
      <c r="K272" s="173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348425.66000000003</v>
      </c>
      <c r="G275" s="18">
        <v>88426.830000000016</v>
      </c>
      <c r="H275" s="18">
        <v>1040</v>
      </c>
      <c r="I275" s="18">
        <v>800</v>
      </c>
      <c r="J275" s="18">
        <v>0</v>
      </c>
      <c r="K275" s="18">
        <v>0</v>
      </c>
      <c r="L275" s="19">
        <f>SUM(F275:K275)</f>
        <v>438692.49000000005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134630.76</v>
      </c>
      <c r="G276" s="18">
        <v>34087.729999999996</v>
      </c>
      <c r="H276" s="18">
        <v>324.5</v>
      </c>
      <c r="I276" s="18">
        <v>8108.6799999999994</v>
      </c>
      <c r="J276" s="18">
        <v>17117.07</v>
      </c>
      <c r="K276" s="18">
        <v>0</v>
      </c>
      <c r="L276" s="19">
        <f>SUM(F276:K276)</f>
        <v>194268.74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1605.44</v>
      </c>
      <c r="J278" s="18">
        <v>0</v>
      </c>
      <c r="K278" s="18">
        <v>0</v>
      </c>
      <c r="L278" s="19">
        <f>SUM(F278:K278)</f>
        <v>1605.44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4000</v>
      </c>
      <c r="G280" s="18">
        <v>675.28</v>
      </c>
      <c r="H280" s="18">
        <v>1800.44</v>
      </c>
      <c r="I280" s="18">
        <v>485.91</v>
      </c>
      <c r="J280" s="18">
        <v>0</v>
      </c>
      <c r="K280" s="18">
        <v>0</v>
      </c>
      <c r="L280" s="19">
        <f t="shared" ref="L280:L286" si="12">SUM(F280:K280)</f>
        <v>6961.6299999999992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7000</v>
      </c>
      <c r="G281" s="18">
        <v>1301.01</v>
      </c>
      <c r="H281" s="18">
        <v>29330.47</v>
      </c>
      <c r="I281" s="18">
        <v>2229.06</v>
      </c>
      <c r="J281" s="18">
        <v>0</v>
      </c>
      <c r="K281" s="18">
        <v>1197.18</v>
      </c>
      <c r="L281" s="19">
        <f t="shared" si="12"/>
        <v>41057.72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12728.029999999999</v>
      </c>
      <c r="L282" s="19">
        <f t="shared" si="12"/>
        <v>12728.029999999999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494056.42000000004</v>
      </c>
      <c r="G289" s="42">
        <f t="shared" si="13"/>
        <v>124490.85</v>
      </c>
      <c r="H289" s="42">
        <f t="shared" si="13"/>
        <v>32495.41</v>
      </c>
      <c r="I289" s="42">
        <f t="shared" si="13"/>
        <v>13229.09</v>
      </c>
      <c r="J289" s="42">
        <f t="shared" si="13"/>
        <v>17117.07</v>
      </c>
      <c r="K289" s="42">
        <f t="shared" si="13"/>
        <v>13925.21</v>
      </c>
      <c r="L289" s="41">
        <f t="shared" si="13"/>
        <v>695314.04999999993</v>
      </c>
      <c r="M289" s="8"/>
    </row>
    <row r="290" spans="1:13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3" t="s">
        <v>693</v>
      </c>
      <c r="G291" s="173" t="s">
        <v>694</v>
      </c>
      <c r="H291" s="173" t="s">
        <v>695</v>
      </c>
      <c r="I291" s="173" t="s">
        <v>696</v>
      </c>
      <c r="J291" s="173" t="s">
        <v>697</v>
      </c>
      <c r="K291" s="173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3" t="s">
        <v>693</v>
      </c>
      <c r="G310" s="173" t="s">
        <v>694</v>
      </c>
      <c r="H310" s="173" t="s">
        <v>695</v>
      </c>
      <c r="I310" s="173" t="s">
        <v>696</v>
      </c>
      <c r="J310" s="173" t="s">
        <v>697</v>
      </c>
      <c r="K310" s="173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2294.6</v>
      </c>
      <c r="G313" s="18">
        <v>209.91</v>
      </c>
      <c r="H313" s="18">
        <v>0</v>
      </c>
      <c r="I313" s="18">
        <v>0</v>
      </c>
      <c r="J313" s="18">
        <v>72505.95</v>
      </c>
      <c r="K313" s="18">
        <v>0</v>
      </c>
      <c r="L313" s="19">
        <f>SUM(F313:K313)</f>
        <v>75010.459999999992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5819.42</v>
      </c>
      <c r="G315" s="18">
        <v>538.14</v>
      </c>
      <c r="H315" s="18">
        <v>5216.2</v>
      </c>
      <c r="I315" s="18">
        <v>5616.29</v>
      </c>
      <c r="J315" s="18">
        <v>4119</v>
      </c>
      <c r="K315" s="18">
        <v>7421.14</v>
      </c>
      <c r="L315" s="19">
        <f>SUM(F315:K315)</f>
        <v>28730.19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158073.64000000001</v>
      </c>
      <c r="G318" s="18">
        <v>50872.75</v>
      </c>
      <c r="H318" s="18">
        <v>62982.79</v>
      </c>
      <c r="I318" s="18">
        <v>23604.23</v>
      </c>
      <c r="J318" s="18">
        <v>45796.21</v>
      </c>
      <c r="K318" s="18">
        <v>0</v>
      </c>
      <c r="L318" s="19">
        <f t="shared" ref="L318:L324" si="16">SUM(F318:K318)</f>
        <v>341329.62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402.94</v>
      </c>
      <c r="J319" s="18">
        <v>0</v>
      </c>
      <c r="K319" s="18">
        <v>2700.64</v>
      </c>
      <c r="L319" s="19">
        <f t="shared" si="16"/>
        <v>3103.58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500</v>
      </c>
      <c r="I320" s="18">
        <v>349.3</v>
      </c>
      <c r="J320" s="18">
        <v>0</v>
      </c>
      <c r="K320" s="18">
        <v>11023.12</v>
      </c>
      <c r="L320" s="19">
        <f t="shared" si="16"/>
        <v>11872.42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166187.66</v>
      </c>
      <c r="G327" s="42">
        <f t="shared" si="17"/>
        <v>51620.800000000003</v>
      </c>
      <c r="H327" s="42">
        <f t="shared" si="17"/>
        <v>68698.990000000005</v>
      </c>
      <c r="I327" s="42">
        <f t="shared" si="17"/>
        <v>29972.76</v>
      </c>
      <c r="J327" s="42">
        <f t="shared" si="17"/>
        <v>122421.16</v>
      </c>
      <c r="K327" s="42">
        <f t="shared" si="17"/>
        <v>21144.9</v>
      </c>
      <c r="L327" s="41">
        <f t="shared" si="17"/>
        <v>460046.27</v>
      </c>
      <c r="M327" s="8"/>
    </row>
    <row r="328" spans="1:13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3" t="s">
        <v>693</v>
      </c>
      <c r="G329" s="173" t="s">
        <v>694</v>
      </c>
      <c r="H329" s="173" t="s">
        <v>695</v>
      </c>
      <c r="I329" s="173" t="s">
        <v>696</v>
      </c>
      <c r="J329" s="173" t="s">
        <v>697</v>
      </c>
      <c r="K329" s="173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660244.08000000007</v>
      </c>
      <c r="G337" s="41">
        <f t="shared" si="20"/>
        <v>176111.65000000002</v>
      </c>
      <c r="H337" s="41">
        <f t="shared" si="20"/>
        <v>101194.40000000001</v>
      </c>
      <c r="I337" s="41">
        <f t="shared" si="20"/>
        <v>43201.85</v>
      </c>
      <c r="J337" s="41">
        <f t="shared" si="20"/>
        <v>139538.23000000001</v>
      </c>
      <c r="K337" s="41">
        <f t="shared" si="20"/>
        <v>35070.11</v>
      </c>
      <c r="L337" s="41">
        <f t="shared" si="20"/>
        <v>1155360.3199999998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11535.16</v>
      </c>
      <c r="L343" s="19">
        <f t="shared" ref="L343:L349" si="21">SUM(F343:K343)</f>
        <v>11535.16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11535.16</v>
      </c>
      <c r="L350" s="41">
        <f>SUM(L340:L349)</f>
        <v>11535.16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660244.08000000007</v>
      </c>
      <c r="G351" s="41">
        <f>G337</f>
        <v>176111.65000000002</v>
      </c>
      <c r="H351" s="41">
        <f>H337</f>
        <v>101194.40000000001</v>
      </c>
      <c r="I351" s="41">
        <f>I337</f>
        <v>43201.85</v>
      </c>
      <c r="J351" s="41">
        <f>J337</f>
        <v>139538.23000000001</v>
      </c>
      <c r="K351" s="47">
        <f>K337+K350</f>
        <v>46605.270000000004</v>
      </c>
      <c r="L351" s="41">
        <f>L337+L350</f>
        <v>1166895.4799999997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3" t="s">
        <v>693</v>
      </c>
      <c r="G353" s="173" t="s">
        <v>694</v>
      </c>
      <c r="H353" s="173" t="s">
        <v>695</v>
      </c>
      <c r="I353" s="173" t="s">
        <v>696</v>
      </c>
      <c r="J353" s="173" t="s">
        <v>697</v>
      </c>
      <c r="K353" s="173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72562.190000000017</v>
      </c>
      <c r="G357" s="18">
        <v>82895.159999999974</v>
      </c>
      <c r="H357" s="18">
        <v>2108.67</v>
      </c>
      <c r="I357" s="18">
        <v>70243.08</v>
      </c>
      <c r="J357" s="18">
        <v>0</v>
      </c>
      <c r="K357" s="18">
        <v>0</v>
      </c>
      <c r="L357" s="13">
        <f>SUM(F357:K357)</f>
        <v>227809.09999999998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75361.33</v>
      </c>
      <c r="G359" s="18">
        <v>58590.33</v>
      </c>
      <c r="H359" s="18">
        <v>1091.9100000000001</v>
      </c>
      <c r="I359" s="18">
        <v>94685.56</v>
      </c>
      <c r="J359" s="18">
        <v>0</v>
      </c>
      <c r="K359" s="18">
        <v>1498.15</v>
      </c>
      <c r="L359" s="19">
        <f>SUM(F359:K359)</f>
        <v>231227.28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147923.52000000002</v>
      </c>
      <c r="G361" s="47">
        <f t="shared" si="22"/>
        <v>141485.49</v>
      </c>
      <c r="H361" s="47">
        <f t="shared" si="22"/>
        <v>3200.58</v>
      </c>
      <c r="I361" s="47">
        <f t="shared" si="22"/>
        <v>164928.64000000001</v>
      </c>
      <c r="J361" s="47">
        <f t="shared" si="22"/>
        <v>0</v>
      </c>
      <c r="K361" s="47">
        <f t="shared" si="22"/>
        <v>1498.15</v>
      </c>
      <c r="L361" s="47">
        <f t="shared" si="22"/>
        <v>459036.38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44556.14</v>
      </c>
      <c r="G366" s="18">
        <v>0</v>
      </c>
      <c r="H366" s="18">
        <v>86240.88</v>
      </c>
      <c r="I366" s="56">
        <f>SUM(F366:H366)</f>
        <v>130797.02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v>25686.940000000002</v>
      </c>
      <c r="G367" s="18">
        <v>0</v>
      </c>
      <c r="H367" s="18">
        <v>8444.679999999993</v>
      </c>
      <c r="I367" s="56">
        <f>SUM(F367:H367)</f>
        <v>34131.619999999995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70243.08</v>
      </c>
      <c r="G368" s="47">
        <f>SUM(G366:G367)</f>
        <v>0</v>
      </c>
      <c r="H368" s="47">
        <f>SUM(H366:H367)</f>
        <v>94685.56</v>
      </c>
      <c r="I368" s="47">
        <f>SUM(I366:I367)</f>
        <v>164928.64000000001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3" t="s">
        <v>693</v>
      </c>
      <c r="G370" s="173" t="s">
        <v>694</v>
      </c>
      <c r="H370" s="173" t="s">
        <v>695</v>
      </c>
      <c r="I370" s="173" t="s">
        <v>696</v>
      </c>
      <c r="J370" s="173" t="s">
        <v>697</v>
      </c>
      <c r="K370" s="173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28526.29</v>
      </c>
      <c r="G377" s="18">
        <v>2466.29</v>
      </c>
      <c r="H377" s="18">
        <v>1611936</v>
      </c>
      <c r="I377" s="18">
        <v>0</v>
      </c>
      <c r="J377" s="18">
        <v>1007978.73</v>
      </c>
      <c r="K377" s="18">
        <v>0</v>
      </c>
      <c r="L377" s="13">
        <f t="shared" si="23"/>
        <v>2650907.31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28526.29</v>
      </c>
      <c r="G381" s="138">
        <f t="shared" ref="G381:L381" si="24">SUM(G373:G380)</f>
        <v>2466.29</v>
      </c>
      <c r="H381" s="138">
        <f t="shared" si="24"/>
        <v>1611936</v>
      </c>
      <c r="I381" s="41">
        <f t="shared" si="24"/>
        <v>0</v>
      </c>
      <c r="J381" s="47">
        <f t="shared" si="24"/>
        <v>1007978.73</v>
      </c>
      <c r="K381" s="47">
        <f t="shared" si="24"/>
        <v>0</v>
      </c>
      <c r="L381" s="47">
        <f t="shared" si="24"/>
        <v>2650907.31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</row>
    <row r="386" spans="1:13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56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0</v>
      </c>
      <c r="H392" s="138">
        <f>SUM(H386:H391)</f>
        <v>0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15000</v>
      </c>
      <c r="H395" s="18">
        <v>191.55</v>
      </c>
      <c r="I395" s="18">
        <v>0</v>
      </c>
      <c r="J395" s="24" t="s">
        <v>289</v>
      </c>
      <c r="K395" s="24" t="s">
        <v>289</v>
      </c>
      <c r="L395" s="56">
        <f t="shared" si="26"/>
        <v>15191.55</v>
      </c>
      <c r="M395" s="8"/>
    </row>
    <row r="396" spans="1:13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10000</v>
      </c>
      <c r="H396" s="18">
        <v>180.4</v>
      </c>
      <c r="I396" s="18">
        <v>0</v>
      </c>
      <c r="J396" s="24" t="s">
        <v>289</v>
      </c>
      <c r="K396" s="24" t="s">
        <v>289</v>
      </c>
      <c r="L396" s="56">
        <f t="shared" si="26"/>
        <v>10180.4</v>
      </c>
      <c r="M396" s="8"/>
    </row>
    <row r="397" spans="1:13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57492.95</v>
      </c>
      <c r="H399" s="18">
        <v>505.27</v>
      </c>
      <c r="I399" s="18">
        <v>0</v>
      </c>
      <c r="J399" s="24" t="s">
        <v>289</v>
      </c>
      <c r="K399" s="24" t="s">
        <v>289</v>
      </c>
      <c r="L399" s="56">
        <f t="shared" si="26"/>
        <v>57998.219999999994</v>
      </c>
      <c r="M399" s="8"/>
    </row>
    <row r="400" spans="1:13" s="3" customFormat="1" ht="12" customHeight="1" thickTop="1" x14ac:dyDescent="0.15">
      <c r="A400" s="156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82492.95</v>
      </c>
      <c r="H400" s="47">
        <f>SUM(H394:H399)</f>
        <v>877.22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83370.169999999984</v>
      </c>
      <c r="M400" s="8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09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56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82492.95</v>
      </c>
      <c r="H407" s="47">
        <f>H392+H400+H406</f>
        <v>877.22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83370.169999999984</v>
      </c>
      <c r="M407" s="8"/>
    </row>
    <row r="408" spans="1:21" s="3" customFormat="1" ht="12" customHeight="1" x14ac:dyDescent="0.15">
      <c r="A408" s="77"/>
      <c r="B408" s="2"/>
      <c r="C408" s="6"/>
      <c r="D408" s="6"/>
      <c r="E408" s="6"/>
      <c r="F408" s="173" t="s">
        <v>693</v>
      </c>
      <c r="G408" s="173" t="s">
        <v>694</v>
      </c>
      <c r="H408" s="173" t="s">
        <v>695</v>
      </c>
      <c r="I408" s="173" t="s">
        <v>696</v>
      </c>
      <c r="J408" s="173" t="s">
        <v>697</v>
      </c>
      <c r="K408" s="173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 x14ac:dyDescent="0.15">
      <c r="A418" s="156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0</v>
      </c>
      <c r="K418" s="138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</row>
    <row r="426" spans="1:21" s="3" customFormat="1" ht="12" customHeight="1" thickTop="1" x14ac:dyDescent="0.15">
      <c r="A426" s="156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7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</row>
    <row r="432" spans="1:21" s="3" customFormat="1" ht="12" customHeight="1" thickTop="1" thickBot="1" x14ac:dyDescent="0.2">
      <c r="A432" s="156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537796.68999999994</v>
      </c>
      <c r="H439" s="18">
        <v>0</v>
      </c>
      <c r="I439" s="56">
        <f t="shared" si="33"/>
        <v>537796.68999999994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537796.68999999994</v>
      </c>
      <c r="H445" s="13">
        <f>SUM(H438:H444)</f>
        <v>0</v>
      </c>
      <c r="I445" s="13">
        <f>SUM(I438:I444)</f>
        <v>537796.68999999994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0</v>
      </c>
      <c r="G451" s="71">
        <f>SUM(G447:G450)</f>
        <v>0</v>
      </c>
      <c r="H451" s="71">
        <f>SUM(H447:H450)</f>
        <v>0</v>
      </c>
      <c r="I451" s="71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537796.68999999994</v>
      </c>
      <c r="H458" s="18">
        <v>0</v>
      </c>
      <c r="I458" s="56">
        <f t="shared" si="34"/>
        <v>537796.68999999994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0</v>
      </c>
      <c r="G459" s="82">
        <f>SUM(G453:G458)</f>
        <v>537796.68999999994</v>
      </c>
      <c r="H459" s="82">
        <f>SUM(H453:H458)</f>
        <v>0</v>
      </c>
      <c r="I459" s="82">
        <f>SUM(I453:I458)</f>
        <v>537796.68999999994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3" t="s">
        <v>433</v>
      </c>
      <c r="E460" s="81"/>
      <c r="F460" s="42">
        <f>F451+F459</f>
        <v>0</v>
      </c>
      <c r="G460" s="42">
        <f>G451+G459</f>
        <v>537796.68999999994</v>
      </c>
      <c r="H460" s="42">
        <f>H451+H459</f>
        <v>0</v>
      </c>
      <c r="I460" s="42">
        <f>I451+I459</f>
        <v>537796.68999999994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</row>
    <row r="464" spans="1:23" s="52" customFormat="1" ht="12" customHeight="1" x14ac:dyDescent="0.2">
      <c r="A464" s="185" t="s">
        <v>855</v>
      </c>
      <c r="B464" s="104">
        <v>19</v>
      </c>
      <c r="C464" s="110">
        <v>1</v>
      </c>
      <c r="D464" s="2" t="s">
        <v>433</v>
      </c>
      <c r="E464" s="110"/>
      <c r="F464" s="18">
        <v>1098435.82</v>
      </c>
      <c r="G464" s="18">
        <v>19990.64</v>
      </c>
      <c r="H464" s="18">
        <v>0</v>
      </c>
      <c r="I464" s="18">
        <v>532003.14</v>
      </c>
      <c r="J464" s="18">
        <v>454426.52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v>13700626.340000002</v>
      </c>
      <c r="G467" s="18">
        <v>445977.58</v>
      </c>
      <c r="H467" s="18">
        <v>1188824.0499999998</v>
      </c>
      <c r="I467" s="18">
        <v>2494074.67</v>
      </c>
      <c r="J467" s="18">
        <v>83370.169999999984</v>
      </c>
      <c r="K467" s="24" t="s">
        <v>289</v>
      </c>
      <c r="L467" s="24" t="s">
        <v>289</v>
      </c>
    </row>
    <row r="468" spans="1:12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</row>
    <row r="469" spans="1:12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13700626.340000002</v>
      </c>
      <c r="G469" s="53">
        <f>SUM(G467:G468)</f>
        <v>445977.58</v>
      </c>
      <c r="H469" s="53">
        <f>SUM(H467:H468)</f>
        <v>1188824.0499999998</v>
      </c>
      <c r="I469" s="53">
        <f>SUM(I467:I468)</f>
        <v>2494074.67</v>
      </c>
      <c r="J469" s="53">
        <f>SUM(J467:J468)</f>
        <v>83370.169999999984</v>
      </c>
      <c r="K469" s="24" t="s">
        <v>289</v>
      </c>
      <c r="L469" s="24" t="s">
        <v>289</v>
      </c>
    </row>
    <row r="470" spans="1:12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v>13954058.98</v>
      </c>
      <c r="G471" s="18">
        <v>459036.38</v>
      </c>
      <c r="H471" s="18">
        <v>1166895.4800000004</v>
      </c>
      <c r="I471" s="18">
        <v>2650907.31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</row>
    <row r="473" spans="1:12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13954058.98</v>
      </c>
      <c r="G473" s="53">
        <f>SUM(G471:G472)</f>
        <v>459036.38</v>
      </c>
      <c r="H473" s="53">
        <f>SUM(H471:H472)</f>
        <v>1166895.4800000004</v>
      </c>
      <c r="I473" s="53">
        <f>SUM(I471:I472)</f>
        <v>2650907.31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86" t="s">
        <v>856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845003.18000000156</v>
      </c>
      <c r="G475" s="53">
        <f>(G464+G469)- G473</f>
        <v>6931.8400000000256</v>
      </c>
      <c r="H475" s="53">
        <f>(H464+H469)- H473</f>
        <v>21928.569999999367</v>
      </c>
      <c r="I475" s="53">
        <f>(I464+I469)- I473</f>
        <v>375170.5</v>
      </c>
      <c r="J475" s="53">
        <f>(J464+J469)- J473</f>
        <v>537796.68999999994</v>
      </c>
      <c r="K475" s="24" t="s">
        <v>289</v>
      </c>
      <c r="L475" s="24" t="s">
        <v>289</v>
      </c>
    </row>
    <row r="476" spans="1:12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</row>
    <row r="477" spans="1:12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</row>
    <row r="478" spans="1:12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</row>
    <row r="479" spans="1:12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</row>
    <row r="480" spans="1:12" s="52" customFormat="1" ht="12" customHeight="1" x14ac:dyDescent="0.2">
      <c r="A480" s="171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</row>
    <row r="481" spans="1:12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</row>
    <row r="482" spans="1:12" s="52" customFormat="1" ht="12" customHeight="1" x14ac:dyDescent="0.2">
      <c r="A482" s="170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</row>
    <row r="483" spans="1:12" s="52" customFormat="1" ht="12" customHeight="1" x14ac:dyDescent="0.2">
      <c r="A483" s="170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</row>
    <row r="484" spans="1:12" s="52" customFormat="1" ht="12" customHeight="1" x14ac:dyDescent="0.2">
      <c r="A484" s="170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</row>
    <row r="485" spans="1:12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</row>
    <row r="486" spans="1:12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</row>
    <row r="487" spans="1:12" s="52" customFormat="1" ht="12" customHeight="1" x14ac:dyDescent="0.2">
      <c r="A487" s="187" t="s">
        <v>857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</row>
    <row r="488" spans="1:12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</row>
    <row r="489" spans="1:12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8">
        <v>20</v>
      </c>
      <c r="G489" s="18">
        <v>17</v>
      </c>
      <c r="H489" s="18"/>
      <c r="I489" s="18"/>
      <c r="J489" s="18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18" t="s">
        <v>910</v>
      </c>
      <c r="G490" s="18" t="s">
        <v>911</v>
      </c>
      <c r="H490" s="18"/>
      <c r="I490" s="18"/>
      <c r="J490" s="18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18" t="s">
        <v>912</v>
      </c>
      <c r="G491" s="18" t="s">
        <v>913</v>
      </c>
      <c r="H491" s="18"/>
      <c r="I491" s="18"/>
      <c r="J491" s="18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>
        <v>6000000</v>
      </c>
      <c r="G492" s="18">
        <v>4160640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>
        <v>3.9</v>
      </c>
      <c r="G493" s="18">
        <v>5.39</v>
      </c>
      <c r="H493" s="18" t="s">
        <v>914</v>
      </c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3600000</v>
      </c>
      <c r="G494" s="18">
        <v>4160640</v>
      </c>
      <c r="H494" s="18"/>
      <c r="I494" s="18"/>
      <c r="J494" s="18"/>
      <c r="K494" s="53">
        <f>SUM(F494:J494)</f>
        <v>7760640</v>
      </c>
      <c r="L494" s="24" t="s">
        <v>289</v>
      </c>
    </row>
    <row r="495" spans="1:12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300000</v>
      </c>
      <c r="G496" s="18">
        <v>260640</v>
      </c>
      <c r="H496" s="18"/>
      <c r="I496" s="18"/>
      <c r="J496" s="18"/>
      <c r="K496" s="53">
        <f t="shared" si="35"/>
        <v>560640</v>
      </c>
      <c r="L496" s="24" t="s">
        <v>289</v>
      </c>
    </row>
    <row r="497" spans="1:12" s="52" customFormat="1" ht="12" customHeight="1" x14ac:dyDescent="0.2">
      <c r="A497" s="197" t="s">
        <v>626</v>
      </c>
      <c r="B497" s="198">
        <v>20</v>
      </c>
      <c r="C497" s="199">
        <v>9</v>
      </c>
      <c r="D497" s="200" t="s">
        <v>433</v>
      </c>
      <c r="E497" s="199"/>
      <c r="F497" s="18">
        <v>3300000</v>
      </c>
      <c r="G497" s="18">
        <v>3900000</v>
      </c>
      <c r="H497" s="201"/>
      <c r="I497" s="201"/>
      <c r="J497" s="201"/>
      <c r="K497" s="202">
        <f t="shared" si="35"/>
        <v>7200000</v>
      </c>
      <c r="L497" s="203" t="s">
        <v>289</v>
      </c>
    </row>
    <row r="498" spans="1:12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668157</v>
      </c>
      <c r="G498" s="18">
        <v>1576575</v>
      </c>
      <c r="H498" s="18"/>
      <c r="I498" s="18"/>
      <c r="J498" s="18"/>
      <c r="K498" s="53">
        <f t="shared" si="35"/>
        <v>2244732</v>
      </c>
      <c r="L498" s="24" t="s">
        <v>289</v>
      </c>
    </row>
    <row r="499" spans="1:12" s="52" customFormat="1" ht="12" customHeight="1" thickTop="1" x14ac:dyDescent="0.2">
      <c r="A499" s="138" t="s">
        <v>628</v>
      </c>
      <c r="B499" s="44">
        <v>20</v>
      </c>
      <c r="C499" s="192">
        <v>11</v>
      </c>
      <c r="D499" s="39" t="s">
        <v>433</v>
      </c>
      <c r="E499" s="192"/>
      <c r="F499" s="42">
        <f>SUM(F497:F498)</f>
        <v>3968157</v>
      </c>
      <c r="G499" s="42">
        <f>SUM(G497:G498)</f>
        <v>5476575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9444732</v>
      </c>
      <c r="L499" s="45" t="s">
        <v>289</v>
      </c>
    </row>
    <row r="500" spans="1:12" s="52" customFormat="1" ht="12" customHeight="1" x14ac:dyDescent="0.2">
      <c r="A500" s="197" t="s">
        <v>655</v>
      </c>
      <c r="B500" s="198">
        <v>20</v>
      </c>
      <c r="C500" s="199">
        <v>12</v>
      </c>
      <c r="D500" s="200" t="s">
        <v>433</v>
      </c>
      <c r="E500" s="199"/>
      <c r="F500" s="18">
        <v>300000</v>
      </c>
      <c r="G500" s="18">
        <v>260000</v>
      </c>
      <c r="H500" s="201"/>
      <c r="I500" s="201"/>
      <c r="J500" s="201"/>
      <c r="K500" s="202">
        <f t="shared" si="35"/>
        <v>560000</v>
      </c>
      <c r="L500" s="203" t="s">
        <v>289</v>
      </c>
    </row>
    <row r="501" spans="1:12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127572</v>
      </c>
      <c r="G501" s="18">
        <v>203203</v>
      </c>
      <c r="H501" s="18"/>
      <c r="I501" s="18"/>
      <c r="J501" s="18"/>
      <c r="K501" s="53">
        <f t="shared" si="35"/>
        <v>330775</v>
      </c>
      <c r="L501" s="24" t="s">
        <v>289</v>
      </c>
    </row>
    <row r="502" spans="1:12" s="52" customFormat="1" ht="12" customHeight="1" thickTop="1" x14ac:dyDescent="0.2">
      <c r="A502" s="138" t="s">
        <v>630</v>
      </c>
      <c r="B502" s="44">
        <v>20</v>
      </c>
      <c r="C502" s="192">
        <v>14</v>
      </c>
      <c r="D502" s="39" t="s">
        <v>433</v>
      </c>
      <c r="E502" s="192"/>
      <c r="F502" s="42">
        <f>SUM(F500:F501)</f>
        <v>427572</v>
      </c>
      <c r="G502" s="42">
        <f>SUM(G500:G501)</f>
        <v>463203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890775</v>
      </c>
      <c r="L502" s="45" t="s">
        <v>289</v>
      </c>
    </row>
    <row r="503" spans="1:12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</row>
    <row r="504" spans="1:12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</row>
    <row r="505" spans="1:12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/>
      <c r="G506" s="143"/>
      <c r="H506" s="143"/>
      <c r="I506" s="143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5" t="s">
        <v>858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</row>
    <row r="509" spans="1:12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>
        <v>280524</v>
      </c>
      <c r="G510" s="24" t="s">
        <v>289</v>
      </c>
      <c r="H510" s="18">
        <v>280524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>
        <v>6098552</v>
      </c>
      <c r="G512" s="24" t="s">
        <v>289</v>
      </c>
      <c r="H512" s="18">
        <v>6098552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>
        <v>55360</v>
      </c>
      <c r="G513" s="24" t="s">
        <v>289</v>
      </c>
      <c r="H513" s="18">
        <v>55360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>
        <v>7873204</v>
      </c>
      <c r="G514" s="24" t="s">
        <v>289</v>
      </c>
      <c r="H514" s="18">
        <v>10524111.310000001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>
        <v>0</v>
      </c>
      <c r="H515" s="24" t="s">
        <v>289</v>
      </c>
      <c r="I515" s="18">
        <v>0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14307640</v>
      </c>
      <c r="G516" s="42">
        <f>SUM(G510:G515)</f>
        <v>0</v>
      </c>
      <c r="H516" s="42">
        <f>SUM(H510:H515)</f>
        <v>16958547.310000002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5" t="s">
        <v>702</v>
      </c>
      <c r="B517" s="104"/>
      <c r="C517" s="114"/>
      <c r="D517" s="114"/>
      <c r="E517" s="114"/>
      <c r="F517" s="173" t="s">
        <v>693</v>
      </c>
      <c r="G517" s="173" t="s">
        <v>694</v>
      </c>
      <c r="H517" s="173" t="s">
        <v>695</v>
      </c>
      <c r="I517" s="173" t="s">
        <v>696</v>
      </c>
      <c r="J517" s="173" t="s">
        <v>697</v>
      </c>
      <c r="K517" s="173" t="s">
        <v>698</v>
      </c>
      <c r="L517" s="105"/>
    </row>
    <row r="518" spans="1:13" s="52" customFormat="1" ht="12" customHeight="1" x14ac:dyDescent="0.2">
      <c r="A518" s="174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</row>
    <row r="519" spans="1:13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v>737146.33</v>
      </c>
      <c r="G520" s="18">
        <v>389944.4</v>
      </c>
      <c r="H520" s="18">
        <v>27896.080000000002</v>
      </c>
      <c r="I520" s="18">
        <v>13413.73</v>
      </c>
      <c r="J520" s="18">
        <v>17413.759999999998</v>
      </c>
      <c r="K520" s="18">
        <v>719.17</v>
      </c>
      <c r="L520" s="87">
        <f>SUM(F520:K520)</f>
        <v>1186533.47</v>
      </c>
    </row>
    <row r="521" spans="1:13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v>207206.33000000002</v>
      </c>
      <c r="G521" s="18">
        <v>123747.52</v>
      </c>
      <c r="H521" s="18">
        <v>38610.620000000003</v>
      </c>
      <c r="I521" s="18">
        <v>3377.0699999999997</v>
      </c>
      <c r="J521" s="18">
        <v>4555.7700000000004</v>
      </c>
      <c r="K521" s="18">
        <v>715.48</v>
      </c>
      <c r="L521" s="87">
        <f>SUM(F521:K521)</f>
        <v>378212.79000000004</v>
      </c>
    </row>
    <row r="522" spans="1:13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v>341865.11000000004</v>
      </c>
      <c r="G522" s="18">
        <v>169656.35000000003</v>
      </c>
      <c r="H522" s="18">
        <v>161601.07</v>
      </c>
      <c r="I522" s="18">
        <v>5918.23</v>
      </c>
      <c r="J522" s="18">
        <v>0</v>
      </c>
      <c r="K522" s="18">
        <v>88.63</v>
      </c>
      <c r="L522" s="87">
        <f>SUM(F522:K522)</f>
        <v>679129.39</v>
      </c>
    </row>
    <row r="523" spans="1:13" s="52" customFormat="1" ht="12" customHeight="1" thickTop="1" x14ac:dyDescent="0.2">
      <c r="A523" s="138" t="s">
        <v>63</v>
      </c>
      <c r="B523" s="106">
        <v>21</v>
      </c>
      <c r="C523" s="192">
        <v>4</v>
      </c>
      <c r="D523" s="193" t="s">
        <v>433</v>
      </c>
      <c r="E523" s="192"/>
      <c r="F523" s="107">
        <f>SUM(F520:F522)</f>
        <v>1286217.77</v>
      </c>
      <c r="G523" s="107">
        <f t="shared" ref="G523:L523" si="36">SUM(G520:G522)</f>
        <v>683348.27</v>
      </c>
      <c r="H523" s="107">
        <f t="shared" si="36"/>
        <v>228107.77000000002</v>
      </c>
      <c r="I523" s="107">
        <f t="shared" si="36"/>
        <v>22709.03</v>
      </c>
      <c r="J523" s="107">
        <f t="shared" si="36"/>
        <v>21969.53</v>
      </c>
      <c r="K523" s="107">
        <f t="shared" si="36"/>
        <v>1523.2800000000002</v>
      </c>
      <c r="L523" s="88">
        <f t="shared" si="36"/>
        <v>2243875.65</v>
      </c>
    </row>
    <row r="524" spans="1:13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112205.8</v>
      </c>
      <c r="G525" s="18">
        <v>56449.189999999995</v>
      </c>
      <c r="H525" s="18">
        <v>80803.510000000009</v>
      </c>
      <c r="I525" s="18">
        <v>4689.46</v>
      </c>
      <c r="J525" s="18">
        <v>855.8</v>
      </c>
      <c r="K525" s="18">
        <v>991.26</v>
      </c>
      <c r="L525" s="87">
        <f>SUM(F525:K525)</f>
        <v>255995.02</v>
      </c>
      <c r="M525" s="8"/>
    </row>
    <row r="526" spans="1:13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22194.26</v>
      </c>
      <c r="G526" s="18">
        <v>10065.799999999999</v>
      </c>
      <c r="H526" s="18">
        <v>14760</v>
      </c>
      <c r="I526" s="18">
        <v>110</v>
      </c>
      <c r="J526" s="18">
        <v>0</v>
      </c>
      <c r="K526" s="18">
        <v>0</v>
      </c>
      <c r="L526" s="87">
        <f>SUM(F526:K526)</f>
        <v>47130.06</v>
      </c>
      <c r="M526" s="8"/>
    </row>
    <row r="527" spans="1:13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191365.36000000002</v>
      </c>
      <c r="G527" s="18">
        <v>66158.36</v>
      </c>
      <c r="H527" s="18">
        <v>85122.790000000008</v>
      </c>
      <c r="I527" s="18">
        <v>23604.23</v>
      </c>
      <c r="J527" s="18">
        <v>45796.21</v>
      </c>
      <c r="K527" s="18">
        <v>33.74</v>
      </c>
      <c r="L527" s="87">
        <f>SUM(F527:K527)</f>
        <v>412080.69</v>
      </c>
      <c r="M527" s="8"/>
    </row>
    <row r="528" spans="1:13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4" t="s">
        <v>433</v>
      </c>
      <c r="E528" s="106"/>
      <c r="F528" s="88">
        <f>SUM(F525:F527)</f>
        <v>325765.42000000004</v>
      </c>
      <c r="G528" s="88">
        <f t="shared" ref="G528:L528" si="37">SUM(G525:G527)</f>
        <v>132673.34999999998</v>
      </c>
      <c r="H528" s="88">
        <f t="shared" si="37"/>
        <v>180686.30000000002</v>
      </c>
      <c r="I528" s="88">
        <f t="shared" si="37"/>
        <v>28403.69</v>
      </c>
      <c r="J528" s="88">
        <f t="shared" si="37"/>
        <v>46652.01</v>
      </c>
      <c r="K528" s="88">
        <f t="shared" si="37"/>
        <v>1025</v>
      </c>
      <c r="L528" s="88">
        <f t="shared" si="37"/>
        <v>715205.77</v>
      </c>
      <c r="M528" s="8"/>
    </row>
    <row r="529" spans="1:13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18">
        <v>36197.15</v>
      </c>
      <c r="G530" s="18">
        <v>13981.880000000001</v>
      </c>
      <c r="H530" s="18">
        <v>0</v>
      </c>
      <c r="I530" s="18">
        <v>0</v>
      </c>
      <c r="J530" s="18">
        <v>0</v>
      </c>
      <c r="K530" s="18">
        <v>0</v>
      </c>
      <c r="L530" s="87">
        <f>SUM(F530:K530)</f>
        <v>50179.03</v>
      </c>
      <c r="M530" s="8"/>
    </row>
    <row r="531" spans="1:13" s="3" customFormat="1" ht="12" customHeight="1" x14ac:dyDescent="0.15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18">
        <v>24131.42</v>
      </c>
      <c r="G531" s="18">
        <v>9324.52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33455.94</v>
      </c>
      <c r="M531" s="8"/>
    </row>
    <row r="532" spans="1:13" s="3" customFormat="1" ht="12" customHeight="1" thickBot="1" x14ac:dyDescent="0.2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</row>
    <row r="533" spans="1:13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4" t="s">
        <v>433</v>
      </c>
      <c r="E533" s="106"/>
      <c r="F533" s="88">
        <f>SUM(F530:F532)</f>
        <v>60328.57</v>
      </c>
      <c r="G533" s="88">
        <f t="shared" ref="G533:L533" si="38">SUM(G530:G532)</f>
        <v>23306.400000000001</v>
      </c>
      <c r="H533" s="88">
        <f t="shared" si="38"/>
        <v>0</v>
      </c>
      <c r="I533" s="88">
        <f t="shared" si="38"/>
        <v>0</v>
      </c>
      <c r="J533" s="88">
        <f t="shared" si="38"/>
        <v>0</v>
      </c>
      <c r="K533" s="88">
        <f t="shared" si="38"/>
        <v>0</v>
      </c>
      <c r="L533" s="88">
        <f t="shared" si="38"/>
        <v>83634.97</v>
      </c>
      <c r="M533" s="8"/>
    </row>
    <row r="534" spans="1:13" s="3" customFormat="1" ht="12" customHeight="1" x14ac:dyDescent="0.15">
      <c r="A534" s="96" t="s">
        <v>68</v>
      </c>
      <c r="B534" s="104"/>
      <c r="C534" s="104"/>
      <c r="D534" s="104"/>
      <c r="E534" s="104"/>
      <c r="F534" s="191" t="s">
        <v>289</v>
      </c>
      <c r="G534" s="191" t="s">
        <v>289</v>
      </c>
      <c r="H534" s="191" t="s">
        <v>289</v>
      </c>
      <c r="I534" s="191" t="s">
        <v>289</v>
      </c>
      <c r="J534" s="191" t="s">
        <v>289</v>
      </c>
      <c r="K534" s="191" t="s">
        <v>289</v>
      </c>
      <c r="L534" s="191" t="s">
        <v>289</v>
      </c>
      <c r="M534" s="8"/>
    </row>
    <row r="535" spans="1:13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7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</row>
    <row r="538" spans="1:13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4" t="s">
        <v>433</v>
      </c>
      <c r="E538" s="106"/>
      <c r="F538" s="88">
        <f>SUM(F535:F537)</f>
        <v>0</v>
      </c>
      <c r="G538" s="88">
        <f t="shared" ref="G538:L538" si="39">SUM(G535:G537)</f>
        <v>0</v>
      </c>
      <c r="H538" s="88">
        <f t="shared" si="39"/>
        <v>0</v>
      </c>
      <c r="I538" s="88">
        <f t="shared" si="39"/>
        <v>0</v>
      </c>
      <c r="J538" s="88">
        <f t="shared" si="39"/>
        <v>0</v>
      </c>
      <c r="K538" s="88">
        <f t="shared" si="39"/>
        <v>0</v>
      </c>
      <c r="L538" s="88">
        <f t="shared" si="39"/>
        <v>0</v>
      </c>
      <c r="M538" s="8"/>
    </row>
    <row r="539" spans="1:13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>
        <v>18589.27</v>
      </c>
      <c r="G540" s="18">
        <v>14240.85</v>
      </c>
      <c r="H540" s="18">
        <v>3769.14</v>
      </c>
      <c r="I540" s="18">
        <v>4950.54</v>
      </c>
      <c r="J540" s="18">
        <v>0</v>
      </c>
      <c r="K540" s="18">
        <v>0</v>
      </c>
      <c r="L540" s="87">
        <f>SUM(F540:K540)</f>
        <v>41549.800000000003</v>
      </c>
      <c r="M540" s="8"/>
    </row>
    <row r="541" spans="1:13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>
        <v>0</v>
      </c>
      <c r="G541" s="18">
        <v>0</v>
      </c>
      <c r="H541" s="18">
        <v>759.91000000000008</v>
      </c>
      <c r="I541" s="18">
        <v>0</v>
      </c>
      <c r="J541" s="18">
        <v>0</v>
      </c>
      <c r="K541" s="18">
        <v>0</v>
      </c>
      <c r="L541" s="87">
        <f>SUM(F541:K541)</f>
        <v>759.91000000000008</v>
      </c>
      <c r="M541" s="8"/>
    </row>
    <row r="542" spans="1:13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>
        <v>0</v>
      </c>
      <c r="G542" s="18">
        <v>0</v>
      </c>
      <c r="H542" s="18">
        <v>1139.8599999999999</v>
      </c>
      <c r="I542" s="18">
        <v>0</v>
      </c>
      <c r="J542" s="18">
        <v>0</v>
      </c>
      <c r="K542" s="18">
        <v>0</v>
      </c>
      <c r="L542" s="87">
        <f>SUM(F542:K542)</f>
        <v>1139.8599999999999</v>
      </c>
      <c r="M542" s="8"/>
    </row>
    <row r="543" spans="1:13" s="3" customFormat="1" ht="12" customHeight="1" thickTop="1" thickBot="1" x14ac:dyDescent="0.2">
      <c r="A543" s="129" t="s">
        <v>71</v>
      </c>
      <c r="B543" s="188">
        <v>21</v>
      </c>
      <c r="C543" s="188">
        <v>20</v>
      </c>
      <c r="D543" s="189" t="s">
        <v>433</v>
      </c>
      <c r="E543" s="188"/>
      <c r="F543" s="190">
        <f>SUM(F540:F542)</f>
        <v>18589.27</v>
      </c>
      <c r="G543" s="190">
        <f t="shared" ref="G543:L543" si="40">SUM(G540:G542)</f>
        <v>14240.85</v>
      </c>
      <c r="H543" s="190">
        <f t="shared" si="40"/>
        <v>5668.91</v>
      </c>
      <c r="I543" s="190">
        <f t="shared" si="40"/>
        <v>4950.54</v>
      </c>
      <c r="J543" s="190">
        <f t="shared" si="40"/>
        <v>0</v>
      </c>
      <c r="K543" s="190">
        <f t="shared" si="40"/>
        <v>0</v>
      </c>
      <c r="L543" s="190">
        <f t="shared" si="40"/>
        <v>43449.570000000007</v>
      </c>
      <c r="M543" s="8"/>
    </row>
    <row r="544" spans="1:13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4" t="s">
        <v>433</v>
      </c>
      <c r="E544" s="106"/>
      <c r="F544" s="88">
        <f>F523+F528+F533+F538+F543</f>
        <v>1690901.03</v>
      </c>
      <c r="G544" s="88">
        <f t="shared" ref="G544:L544" si="41">G523+G528+G533+G538+G543</f>
        <v>853568.87</v>
      </c>
      <c r="H544" s="88">
        <f t="shared" si="41"/>
        <v>414462.98000000004</v>
      </c>
      <c r="I544" s="88">
        <f t="shared" si="41"/>
        <v>56063.26</v>
      </c>
      <c r="J544" s="88">
        <f t="shared" si="41"/>
        <v>68621.540000000008</v>
      </c>
      <c r="K544" s="88">
        <f t="shared" si="41"/>
        <v>2548.2800000000002</v>
      </c>
      <c r="L544" s="88">
        <f t="shared" si="41"/>
        <v>3086165.96</v>
      </c>
      <c r="M544" s="8"/>
    </row>
    <row r="545" spans="1:13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</row>
    <row r="546" spans="1:13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</row>
    <row r="547" spans="1:13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1186533.47</v>
      </c>
      <c r="G548" s="86">
        <f>L525</f>
        <v>255995.02</v>
      </c>
      <c r="H548" s="86">
        <f>L530</f>
        <v>50179.03</v>
      </c>
      <c r="I548" s="86">
        <f>L535</f>
        <v>0</v>
      </c>
      <c r="J548" s="86">
        <f>L540</f>
        <v>41549.800000000003</v>
      </c>
      <c r="K548" s="86">
        <f>SUM(F548:J548)</f>
        <v>1534257.32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378212.79000000004</v>
      </c>
      <c r="G549" s="86">
        <f>L526</f>
        <v>47130.06</v>
      </c>
      <c r="H549" s="86">
        <f>L531</f>
        <v>33455.94</v>
      </c>
      <c r="I549" s="86">
        <f>L536</f>
        <v>0</v>
      </c>
      <c r="J549" s="86">
        <f>L541</f>
        <v>759.91000000000008</v>
      </c>
      <c r="K549" s="86">
        <f>SUM(F549:J549)</f>
        <v>459558.7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679129.39</v>
      </c>
      <c r="G550" s="86">
        <f>L527</f>
        <v>412080.69</v>
      </c>
      <c r="H550" s="86">
        <f>L532</f>
        <v>0</v>
      </c>
      <c r="I550" s="86">
        <f>L537</f>
        <v>0</v>
      </c>
      <c r="J550" s="86">
        <f>L542</f>
        <v>1139.8599999999999</v>
      </c>
      <c r="K550" s="86">
        <f>SUM(F550:J550)</f>
        <v>1092349.9400000002</v>
      </c>
      <c r="L550" s="24" t="s">
        <v>289</v>
      </c>
      <c r="M550" s="8"/>
    </row>
    <row r="551" spans="1:13" s="3" customFormat="1" ht="12" customHeight="1" thickTop="1" x14ac:dyDescent="0.15">
      <c r="A551" s="168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2">SUM(F548:F550)</f>
        <v>2243875.65</v>
      </c>
      <c r="G551" s="88">
        <f t="shared" si="42"/>
        <v>715205.77</v>
      </c>
      <c r="H551" s="88">
        <f t="shared" si="42"/>
        <v>83634.97</v>
      </c>
      <c r="I551" s="88">
        <f t="shared" si="42"/>
        <v>0</v>
      </c>
      <c r="J551" s="88">
        <f t="shared" si="42"/>
        <v>43449.570000000007</v>
      </c>
      <c r="K551" s="88">
        <f t="shared" si="42"/>
        <v>3086165.96</v>
      </c>
      <c r="L551" s="24"/>
      <c r="M551" s="8"/>
    </row>
    <row r="552" spans="1:13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</row>
    <row r="553" spans="1:13" s="3" customFormat="1" ht="12" customHeight="1" x14ac:dyDescent="0.15">
      <c r="B553" s="104"/>
      <c r="C553" s="114"/>
      <c r="D553" s="114"/>
      <c r="E553" s="114"/>
      <c r="F553" s="173" t="s">
        <v>693</v>
      </c>
      <c r="G553" s="173" t="s">
        <v>694</v>
      </c>
      <c r="H553" s="173" t="s">
        <v>695</v>
      </c>
      <c r="I553" s="173" t="s">
        <v>696</v>
      </c>
      <c r="J553" s="173" t="s">
        <v>697</v>
      </c>
      <c r="K553" s="173" t="s">
        <v>698</v>
      </c>
      <c r="L553" s="105"/>
      <c r="M553" s="8"/>
    </row>
    <row r="554" spans="1:13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</row>
    <row r="555" spans="1:13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7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</row>
    <row r="559" spans="1:13" s="3" customFormat="1" ht="12" customHeight="1" thickTop="1" x14ac:dyDescent="0.15">
      <c r="A559" s="138" t="s">
        <v>63</v>
      </c>
      <c r="B559" s="106">
        <v>22</v>
      </c>
      <c r="C559" s="192">
        <v>4</v>
      </c>
      <c r="D559" s="193" t="s">
        <v>433</v>
      </c>
      <c r="E559" s="192"/>
      <c r="F559" s="107">
        <f t="shared" ref="F559:L559" si="43">SUM(F556:F558)</f>
        <v>0</v>
      </c>
      <c r="G559" s="107">
        <f t="shared" si="43"/>
        <v>0</v>
      </c>
      <c r="H559" s="107">
        <f t="shared" si="43"/>
        <v>0</v>
      </c>
      <c r="I559" s="107">
        <f t="shared" si="43"/>
        <v>0</v>
      </c>
      <c r="J559" s="107">
        <f t="shared" si="43"/>
        <v>0</v>
      </c>
      <c r="K559" s="107">
        <f t="shared" si="43"/>
        <v>0</v>
      </c>
      <c r="L559" s="88">
        <f t="shared" si="43"/>
        <v>0</v>
      </c>
      <c r="M559" s="8"/>
    </row>
    <row r="560" spans="1:13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>
        <v>55175.98</v>
      </c>
      <c r="G561" s="18">
        <v>0</v>
      </c>
      <c r="H561" s="18">
        <v>0</v>
      </c>
      <c r="I561" s="18">
        <v>1130.6999999999998</v>
      </c>
      <c r="J561" s="18">
        <v>0</v>
      </c>
      <c r="K561" s="18">
        <v>0</v>
      </c>
      <c r="L561" s="87">
        <f>SUM(F561:K561)</f>
        <v>56306.68</v>
      </c>
      <c r="M561" s="8"/>
    </row>
    <row r="562" spans="1:13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>
        <v>4710.51</v>
      </c>
      <c r="G562" s="18">
        <v>0</v>
      </c>
      <c r="H562" s="18">
        <v>0</v>
      </c>
      <c r="I562" s="18">
        <v>162.66</v>
      </c>
      <c r="J562" s="18">
        <v>0</v>
      </c>
      <c r="K562" s="18">
        <v>0</v>
      </c>
      <c r="L562" s="87">
        <f>SUM(F562:K562)</f>
        <v>4873.17</v>
      </c>
      <c r="M562" s="8"/>
    </row>
    <row r="563" spans="1:13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>
        <v>9421.02</v>
      </c>
      <c r="G563" s="18">
        <v>0</v>
      </c>
      <c r="H563" s="18">
        <v>0</v>
      </c>
      <c r="I563" s="18">
        <v>296.69</v>
      </c>
      <c r="J563" s="18">
        <v>145.01</v>
      </c>
      <c r="K563" s="18">
        <v>0</v>
      </c>
      <c r="L563" s="87">
        <f>SUM(F563:K563)</f>
        <v>9862.7200000000012</v>
      </c>
      <c r="M563" s="8"/>
    </row>
    <row r="564" spans="1:13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3" t="s">
        <v>433</v>
      </c>
      <c r="E564" s="106"/>
      <c r="F564" s="88">
        <f t="shared" ref="F564:L564" si="44">SUM(F561:F563)</f>
        <v>69307.510000000009</v>
      </c>
      <c r="G564" s="88">
        <f t="shared" si="44"/>
        <v>0</v>
      </c>
      <c r="H564" s="88">
        <f t="shared" si="44"/>
        <v>0</v>
      </c>
      <c r="I564" s="88">
        <f t="shared" si="44"/>
        <v>1590.05</v>
      </c>
      <c r="J564" s="88">
        <f t="shared" si="44"/>
        <v>145.01</v>
      </c>
      <c r="K564" s="88">
        <f t="shared" si="44"/>
        <v>0</v>
      </c>
      <c r="L564" s="88">
        <f t="shared" si="44"/>
        <v>71042.570000000007</v>
      </c>
      <c r="M564" s="8"/>
    </row>
    <row r="565" spans="1:13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>
        <v>1000</v>
      </c>
      <c r="G566" s="18">
        <v>184.14</v>
      </c>
      <c r="H566" s="18">
        <v>0</v>
      </c>
      <c r="I566" s="18">
        <v>713</v>
      </c>
      <c r="J566" s="18">
        <v>0</v>
      </c>
      <c r="K566" s="18">
        <v>0</v>
      </c>
      <c r="L566" s="87">
        <f>SUM(F566:K566)</f>
        <v>1897.1399999999999</v>
      </c>
      <c r="M566" s="8"/>
    </row>
    <row r="567" spans="1:13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>
        <v>0</v>
      </c>
      <c r="G567" s="18">
        <v>0</v>
      </c>
      <c r="H567" s="18">
        <v>2375</v>
      </c>
      <c r="I567" s="18">
        <v>0</v>
      </c>
      <c r="J567" s="18">
        <v>0</v>
      </c>
      <c r="K567" s="18">
        <v>0</v>
      </c>
      <c r="L567" s="87">
        <f>SUM(F567:K567)</f>
        <v>2375</v>
      </c>
      <c r="M567" s="8"/>
    </row>
    <row r="568" spans="1:13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>
        <v>0</v>
      </c>
      <c r="G568" s="18">
        <v>0</v>
      </c>
      <c r="H568" s="18">
        <v>18426.86</v>
      </c>
      <c r="I568" s="18">
        <v>436.77</v>
      </c>
      <c r="J568" s="18">
        <v>0</v>
      </c>
      <c r="K568" s="18">
        <v>0</v>
      </c>
      <c r="L568" s="87">
        <f>SUM(F568:K568)</f>
        <v>18863.63</v>
      </c>
      <c r="M568" s="8"/>
    </row>
    <row r="569" spans="1:13" s="3" customFormat="1" ht="12" customHeight="1" thickTop="1" thickBot="1" x14ac:dyDescent="0.2">
      <c r="A569" s="129" t="s">
        <v>67</v>
      </c>
      <c r="B569" s="188">
        <v>22</v>
      </c>
      <c r="C569" s="188">
        <v>12</v>
      </c>
      <c r="D569" s="194" t="s">
        <v>433</v>
      </c>
      <c r="E569" s="188"/>
      <c r="F569" s="190">
        <f>SUM(F566:F568)</f>
        <v>1000</v>
      </c>
      <c r="G569" s="190">
        <f t="shared" ref="G569:L569" si="45">SUM(G566:G568)</f>
        <v>184.14</v>
      </c>
      <c r="H569" s="190">
        <f t="shared" si="45"/>
        <v>20801.86</v>
      </c>
      <c r="I569" s="190">
        <f t="shared" si="45"/>
        <v>1149.77</v>
      </c>
      <c r="J569" s="190">
        <f t="shared" si="45"/>
        <v>0</v>
      </c>
      <c r="K569" s="190">
        <f t="shared" si="45"/>
        <v>0</v>
      </c>
      <c r="L569" s="190">
        <f t="shared" si="45"/>
        <v>23135.77</v>
      </c>
      <c r="M569" s="8"/>
    </row>
    <row r="570" spans="1:13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4" t="s">
        <v>433</v>
      </c>
      <c r="E570" s="106"/>
      <c r="F570" s="88">
        <f>F559+F564+F569</f>
        <v>70307.510000000009</v>
      </c>
      <c r="G570" s="88">
        <f t="shared" ref="G570:L570" si="46">G559+G564+G569</f>
        <v>184.14</v>
      </c>
      <c r="H570" s="88">
        <f t="shared" si="46"/>
        <v>20801.86</v>
      </c>
      <c r="I570" s="88">
        <f t="shared" si="46"/>
        <v>2739.8199999999997</v>
      </c>
      <c r="J570" s="88">
        <f t="shared" si="46"/>
        <v>145.01</v>
      </c>
      <c r="K570" s="88">
        <f t="shared" si="46"/>
        <v>0</v>
      </c>
      <c r="L570" s="88">
        <f t="shared" si="46"/>
        <v>94178.340000000011</v>
      </c>
      <c r="M570" s="8"/>
    </row>
    <row r="571" spans="1:13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</row>
    <row r="572" spans="1:13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</row>
    <row r="573" spans="1:13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>
        <v>0</v>
      </c>
      <c r="G574" s="18">
        <v>0</v>
      </c>
      <c r="H574" s="18">
        <v>38167.17</v>
      </c>
      <c r="I574" s="86">
        <f>SUM(F574:H574)</f>
        <v>38167.17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>
        <v>0</v>
      </c>
      <c r="G575" s="18">
        <v>0</v>
      </c>
      <c r="H575" s="18">
        <v>6242.15</v>
      </c>
      <c r="I575" s="86">
        <f t="shared" ref="I575:I586" si="47">SUM(F575:H575)</f>
        <v>6242.15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>
        <v>0</v>
      </c>
      <c r="I576" s="86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18">
        <v>600</v>
      </c>
      <c r="G578" s="18">
        <v>0</v>
      </c>
      <c r="H578" s="18">
        <v>0</v>
      </c>
      <c r="I578" s="86">
        <f t="shared" si="47"/>
        <v>600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>
        <v>0</v>
      </c>
      <c r="G579" s="18">
        <v>0</v>
      </c>
      <c r="H579" s="18">
        <v>0</v>
      </c>
      <c r="I579" s="86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4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>
        <v>0</v>
      </c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4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18">
        <v>11452</v>
      </c>
      <c r="G581" s="18">
        <v>34901.730000000003</v>
      </c>
      <c r="H581" s="18">
        <v>131721.31</v>
      </c>
      <c r="I581" s="86">
        <f t="shared" si="47"/>
        <v>178075.04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4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18">
        <v>0</v>
      </c>
      <c r="G582" s="18">
        <v>15058.310000000001</v>
      </c>
      <c r="H582" s="18">
        <v>0</v>
      </c>
      <c r="I582" s="86">
        <f t="shared" si="47"/>
        <v>15058.310000000001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18">
        <v>0</v>
      </c>
      <c r="G583" s="18">
        <v>0</v>
      </c>
      <c r="H583" s="18">
        <v>1844.13</v>
      </c>
      <c r="I583" s="86">
        <f t="shared" si="47"/>
        <v>1844.13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>
        <v>0</v>
      </c>
      <c r="G584" s="18">
        <v>0</v>
      </c>
      <c r="H584" s="18">
        <v>0</v>
      </c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>
        <v>0</v>
      </c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>
        <v>0</v>
      </c>
      <c r="G586" s="18">
        <v>0</v>
      </c>
      <c r="H586" s="18">
        <v>0</v>
      </c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69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</row>
    <row r="588" spans="1:13" s="3" customFormat="1" ht="12" customHeight="1" x14ac:dyDescent="0.15">
      <c r="A588" s="145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</row>
    <row r="589" spans="1:13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</row>
    <row r="590" spans="1:13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18">
        <v>104509.81</v>
      </c>
      <c r="I590" s="18">
        <v>41803.919999999998</v>
      </c>
      <c r="J590" s="18">
        <v>62705.89</v>
      </c>
      <c r="K590" s="103">
        <f t="shared" ref="K590:K596" si="48">SUM(H590:J590)</f>
        <v>209019.62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18">
        <v>41549.800000000003</v>
      </c>
      <c r="I591" s="18">
        <v>759.91</v>
      </c>
      <c r="J591" s="18">
        <v>1139.8599999999999</v>
      </c>
      <c r="K591" s="103">
        <f t="shared" si="48"/>
        <v>43449.570000000007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18">
        <v>0</v>
      </c>
      <c r="I592" s="18">
        <v>0</v>
      </c>
      <c r="J592" s="18">
        <v>24000</v>
      </c>
      <c r="K592" s="103">
        <f t="shared" si="48"/>
        <v>24000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18">
        <v>0</v>
      </c>
      <c r="I593" s="18">
        <v>16382.9</v>
      </c>
      <c r="J593" s="18">
        <v>45950.11</v>
      </c>
      <c r="K593" s="103">
        <f t="shared" si="48"/>
        <v>62333.01</v>
      </c>
      <c r="L593" s="24" t="s">
        <v>289</v>
      </c>
      <c r="M593" s="8"/>
    </row>
    <row r="594" spans="1:13" s="3" customFormat="1" ht="12" customHeight="1" x14ac:dyDescent="0.15">
      <c r="A594" s="167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18">
        <v>11693.5</v>
      </c>
      <c r="I594" s="18">
        <v>7952.34</v>
      </c>
      <c r="J594" s="18">
        <v>831.95</v>
      </c>
      <c r="K594" s="103">
        <f t="shared" si="48"/>
        <v>20477.79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18">
        <v>0</v>
      </c>
      <c r="I595" s="18">
        <v>0</v>
      </c>
      <c r="J595" s="18">
        <v>0</v>
      </c>
      <c r="K595" s="103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6">
        <v>2700</v>
      </c>
      <c r="G597" s="147" t="s">
        <v>97</v>
      </c>
      <c r="H597" s="107">
        <f>SUM(H590:H596)</f>
        <v>157753.10999999999</v>
      </c>
      <c r="I597" s="107">
        <f>SUM(I590:I596)</f>
        <v>66899.070000000007</v>
      </c>
      <c r="J597" s="107">
        <f>SUM(J590:J596)</f>
        <v>134627.81</v>
      </c>
      <c r="K597" s="107">
        <f>SUM(K590:K596)</f>
        <v>359279.99</v>
      </c>
      <c r="L597" s="24" t="s">
        <v>289</v>
      </c>
      <c r="M597" s="8"/>
    </row>
    <row r="598" spans="1:13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</row>
    <row r="599" spans="1:13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</row>
    <row r="601" spans="1:13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>
        <v>0</v>
      </c>
      <c r="I601" s="18">
        <v>0</v>
      </c>
      <c r="J601" s="18">
        <v>0</v>
      </c>
      <c r="K601" s="103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v>60214.96</v>
      </c>
      <c r="I603" s="18">
        <v>22767.52</v>
      </c>
      <c r="J603" s="18">
        <v>168403.59</v>
      </c>
      <c r="K603" s="103">
        <f>SUM(H603:J603)</f>
        <v>251386.07</v>
      </c>
      <c r="L603" s="24" t="s">
        <v>289</v>
      </c>
      <c r="M603" s="8"/>
    </row>
    <row r="604" spans="1:13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7" t="s">
        <v>477</v>
      </c>
      <c r="G604" s="146">
        <v>700</v>
      </c>
      <c r="H604" s="107">
        <f>SUM(H601:H603)</f>
        <v>60214.96</v>
      </c>
      <c r="I604" s="107">
        <f>SUM(I601:I603)</f>
        <v>22767.52</v>
      </c>
      <c r="J604" s="107">
        <f>SUM(J601:J603)</f>
        <v>168403.59</v>
      </c>
      <c r="K604" s="107">
        <f>SUM(K601:K603)</f>
        <v>251386.07</v>
      </c>
      <c r="L604" s="24" t="s">
        <v>289</v>
      </c>
      <c r="M604" s="8"/>
    </row>
    <row r="605" spans="1:13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</row>
    <row r="606" spans="1:13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</row>
    <row r="607" spans="1:13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</row>
    <row r="608" spans="1:13" s="3" customFormat="1" ht="12" customHeight="1" x14ac:dyDescent="0.15">
      <c r="B608" s="104"/>
      <c r="C608" s="104"/>
      <c r="D608" s="104"/>
      <c r="E608" s="104"/>
      <c r="F608" s="173" t="s">
        <v>693</v>
      </c>
      <c r="G608" s="173" t="s">
        <v>694</v>
      </c>
      <c r="H608" s="173" t="s">
        <v>695</v>
      </c>
      <c r="I608" s="173" t="s">
        <v>696</v>
      </c>
      <c r="J608" s="173" t="s">
        <v>697</v>
      </c>
      <c r="K608" s="173" t="s">
        <v>698</v>
      </c>
      <c r="L608" s="87"/>
      <c r="M608" s="8"/>
    </row>
    <row r="609" spans="1:13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</row>
    <row r="610" spans="1:13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7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7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</row>
    <row r="613" spans="1:13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49">SUM(F610:F612)</f>
        <v>0</v>
      </c>
      <c r="G613" s="107">
        <f t="shared" si="49"/>
        <v>0</v>
      </c>
      <c r="H613" s="107">
        <f t="shared" si="49"/>
        <v>0</v>
      </c>
      <c r="I613" s="107">
        <f t="shared" si="49"/>
        <v>0</v>
      </c>
      <c r="J613" s="107">
        <f t="shared" si="49"/>
        <v>0</v>
      </c>
      <c r="K613" s="107">
        <f t="shared" si="49"/>
        <v>0</v>
      </c>
      <c r="L613" s="88">
        <f t="shared" si="49"/>
        <v>0</v>
      </c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48" t="s">
        <v>53</v>
      </c>
      <c r="G615" s="149"/>
      <c r="H615" s="149"/>
      <c r="I615" s="148" t="s">
        <v>53</v>
      </c>
      <c r="J615" s="108"/>
      <c r="K615" s="108"/>
      <c r="L615" s="108"/>
      <c r="M615" s="8"/>
    </row>
    <row r="616" spans="1:13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1144182.75</v>
      </c>
      <c r="H616" s="108">
        <f>SUM(F51)</f>
        <v>1144182.75</v>
      </c>
      <c r="I616" s="120" t="s">
        <v>901</v>
      </c>
      <c r="J616" s="108">
        <f>G616-H616</f>
        <v>0</v>
      </c>
      <c r="K616" s="108"/>
      <c r="L616" s="108"/>
      <c r="M616" s="8"/>
    </row>
    <row r="617" spans="1:13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21976.41</v>
      </c>
      <c r="H617" s="108">
        <f>SUM(G51)</f>
        <v>21976.41</v>
      </c>
      <c r="I617" s="120" t="s">
        <v>902</v>
      </c>
      <c r="J617" s="108">
        <f>G617-H617</f>
        <v>0</v>
      </c>
      <c r="K617" s="108"/>
      <c r="L617" s="108"/>
      <c r="M617" s="8"/>
    </row>
    <row r="618" spans="1:13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294163.25</v>
      </c>
      <c r="H618" s="108">
        <f>SUM(H51)</f>
        <v>294163.25</v>
      </c>
      <c r="I618" s="120" t="s">
        <v>903</v>
      </c>
      <c r="J618" s="108">
        <f>G618-H618</f>
        <v>0</v>
      </c>
      <c r="K618" s="108"/>
      <c r="L618" s="108"/>
      <c r="M618" s="8"/>
    </row>
    <row r="619" spans="1:13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362279.96</v>
      </c>
      <c r="H619" s="108">
        <f>SUM(I51)</f>
        <v>362279.96</v>
      </c>
      <c r="I619" s="120" t="s">
        <v>904</v>
      </c>
      <c r="J619" s="108">
        <f>G619-H619</f>
        <v>0</v>
      </c>
      <c r="K619" s="108"/>
      <c r="L619" s="108"/>
      <c r="M619" s="8"/>
    </row>
    <row r="620" spans="1:13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537796.68999999994</v>
      </c>
      <c r="H620" s="108">
        <f>SUM(J51)</f>
        <v>537796.68999999994</v>
      </c>
      <c r="I620" s="120" t="s">
        <v>905</v>
      </c>
      <c r="J620" s="108">
        <f>G620-H620</f>
        <v>0</v>
      </c>
      <c r="K620" s="108"/>
      <c r="L620" s="108"/>
      <c r="M620" s="8"/>
    </row>
    <row r="621" spans="1:13" s="3" customFormat="1" ht="12" customHeight="1" x14ac:dyDescent="0.15">
      <c r="A621" s="96"/>
      <c r="B621" s="104"/>
      <c r="C621" s="104"/>
      <c r="D621" s="104"/>
      <c r="E621" s="104"/>
      <c r="F621" s="120" t="s">
        <v>896</v>
      </c>
      <c r="G621" s="108">
        <f>F50</f>
        <v>845003.17999999993</v>
      </c>
      <c r="H621" s="108">
        <f>F475</f>
        <v>845003.18000000156</v>
      </c>
      <c r="I621" s="120" t="s">
        <v>101</v>
      </c>
      <c r="J621" s="108">
        <f t="shared" ref="J621:J654" si="50">G621-H621</f>
        <v>-1.6298145055770874E-9</v>
      </c>
      <c r="K621" s="108"/>
      <c r="L621" s="108"/>
      <c r="M621" s="8"/>
    </row>
    <row r="622" spans="1:13" s="3" customFormat="1" ht="12" customHeight="1" x14ac:dyDescent="0.15">
      <c r="A622" s="96"/>
      <c r="B622" s="104"/>
      <c r="C622" s="118"/>
      <c r="D622" s="118"/>
      <c r="E622" s="118"/>
      <c r="F622" s="118" t="s">
        <v>897</v>
      </c>
      <c r="G622" s="108">
        <f>G50</f>
        <v>6931.840000000002</v>
      </c>
      <c r="H622" s="108">
        <f>G475</f>
        <v>6931.8400000000256</v>
      </c>
      <c r="I622" s="120" t="s">
        <v>102</v>
      </c>
      <c r="J622" s="108">
        <f t="shared" si="50"/>
        <v>-2.3646862246096134E-11</v>
      </c>
      <c r="K622" s="108"/>
      <c r="L622" s="108"/>
      <c r="M622" s="8"/>
    </row>
    <row r="623" spans="1:13" s="3" customFormat="1" ht="12" customHeight="1" x14ac:dyDescent="0.15">
      <c r="A623" s="96"/>
      <c r="B623" s="104"/>
      <c r="C623" s="104"/>
      <c r="D623" s="104"/>
      <c r="E623" s="104"/>
      <c r="F623" s="119" t="s">
        <v>898</v>
      </c>
      <c r="G623" s="108">
        <f>H50</f>
        <v>21928.570000000007</v>
      </c>
      <c r="H623" s="108">
        <f>H475</f>
        <v>21928.569999999367</v>
      </c>
      <c r="I623" s="120" t="s">
        <v>103</v>
      </c>
      <c r="J623" s="108">
        <f t="shared" si="50"/>
        <v>6.4028427004814148E-10</v>
      </c>
      <c r="K623" s="108"/>
      <c r="L623" s="108"/>
      <c r="M623" s="8"/>
    </row>
    <row r="624" spans="1:13" s="3" customFormat="1" ht="12" customHeight="1" x14ac:dyDescent="0.15">
      <c r="A624" s="96"/>
      <c r="B624" s="104"/>
      <c r="C624" s="104"/>
      <c r="D624" s="104"/>
      <c r="E624" s="104"/>
      <c r="F624" s="119" t="s">
        <v>899</v>
      </c>
      <c r="G624" s="108">
        <f>I50</f>
        <v>375170.5</v>
      </c>
      <c r="H624" s="108">
        <f>I475</f>
        <v>375170.5</v>
      </c>
      <c r="I624" s="120" t="s">
        <v>104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900</v>
      </c>
      <c r="G625" s="108">
        <f>J50</f>
        <v>537796.68999999994</v>
      </c>
      <c r="H625" s="108">
        <f>J475</f>
        <v>537796.68999999994</v>
      </c>
      <c r="I625" s="139" t="s">
        <v>105</v>
      </c>
      <c r="J625" s="108">
        <f t="shared" si="50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13700626.339999998</v>
      </c>
      <c r="H626" s="103">
        <f>SUM(F467)</f>
        <v>13700626.340000002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445977.57999999996</v>
      </c>
      <c r="H627" s="103">
        <f>SUM(G467)</f>
        <v>445977.58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1188824.05</v>
      </c>
      <c r="H628" s="103">
        <f>SUM(H467)</f>
        <v>1188824.0499999998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2494074.67</v>
      </c>
      <c r="H629" s="103">
        <f>SUM(I467)</f>
        <v>2494074.67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83370.17</v>
      </c>
      <c r="H630" s="103">
        <f>SUM(J467)</f>
        <v>83370.169999999984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13954058.98</v>
      </c>
      <c r="H631" s="103">
        <f>SUM(F471)</f>
        <v>13954058.98</v>
      </c>
      <c r="I631" s="139" t="s">
        <v>111</v>
      </c>
      <c r="J631" s="108">
        <f t="shared" si="50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1166895.4799999997</v>
      </c>
      <c r="H632" s="103">
        <f>SUM(H471)</f>
        <v>1166895.4800000004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164928.64000000001</v>
      </c>
      <c r="H633" s="103">
        <f>I368</f>
        <v>164928.64000000001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5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459036.38</v>
      </c>
      <c r="H634" s="103">
        <f>SUM(G471)</f>
        <v>459036.38</v>
      </c>
      <c r="I634" s="139" t="s">
        <v>114</v>
      </c>
      <c r="J634" s="108">
        <f t="shared" si="50"/>
        <v>0</v>
      </c>
      <c r="K634" s="84"/>
      <c r="L634" s="87"/>
      <c r="M634" s="164"/>
    </row>
    <row r="635" spans="1:13" s="165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2650907.31</v>
      </c>
      <c r="H635" s="103">
        <f>SUM(I471)</f>
        <v>2650907.31</v>
      </c>
      <c r="I635" s="139" t="s">
        <v>116</v>
      </c>
      <c r="J635" s="108">
        <f t="shared" si="50"/>
        <v>0</v>
      </c>
      <c r="K635" s="84"/>
      <c r="L635" s="87"/>
      <c r="M635" s="164"/>
    </row>
    <row r="636" spans="1:13" s="3" customFormat="1" ht="12" customHeight="1" x14ac:dyDescent="0.15">
      <c r="A636" s="157"/>
      <c r="B636" s="158"/>
      <c r="C636" s="158"/>
      <c r="D636" s="158"/>
      <c r="E636" s="158"/>
      <c r="F636" s="159" t="s">
        <v>478</v>
      </c>
      <c r="G636" s="149">
        <f>SUM(L407)</f>
        <v>83370.169999999984</v>
      </c>
      <c r="H636" s="160">
        <f>SUM(J467)</f>
        <v>83370.169999999984</v>
      </c>
      <c r="I636" s="161" t="s">
        <v>110</v>
      </c>
      <c r="J636" s="149">
        <f t="shared" si="50"/>
        <v>0</v>
      </c>
      <c r="K636" s="162"/>
      <c r="L636" s="163"/>
      <c r="M636" s="8"/>
    </row>
    <row r="637" spans="1:13" s="3" customFormat="1" ht="12" customHeight="1" x14ac:dyDescent="0.15">
      <c r="A637" s="157"/>
      <c r="B637" s="158"/>
      <c r="C637" s="158"/>
      <c r="D637" s="158"/>
      <c r="E637" s="158"/>
      <c r="F637" s="159" t="s">
        <v>479</v>
      </c>
      <c r="G637" s="149">
        <f>SUM(L433)</f>
        <v>0</v>
      </c>
      <c r="H637" s="160">
        <f>SUM(J471)</f>
        <v>0</v>
      </c>
      <c r="I637" s="161" t="s">
        <v>117</v>
      </c>
      <c r="J637" s="149">
        <f t="shared" si="50"/>
        <v>0</v>
      </c>
      <c r="K637" s="162"/>
      <c r="L637" s="163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0</v>
      </c>
      <c r="H638" s="103">
        <f>SUM(F460)</f>
        <v>0</v>
      </c>
      <c r="I638" s="139" t="s">
        <v>868</v>
      </c>
      <c r="J638" s="108">
        <f t="shared" si="50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537796.68999999994</v>
      </c>
      <c r="H639" s="103">
        <f>SUM(G460)</f>
        <v>537796.68999999994</v>
      </c>
      <c r="I639" s="139" t="s">
        <v>869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0</v>
      </c>
      <c r="H640" s="103">
        <f>SUM(H460)</f>
        <v>0</v>
      </c>
      <c r="I640" s="139" t="s">
        <v>870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537796.68999999994</v>
      </c>
      <c r="H641" s="103">
        <f>SUM(I460)</f>
        <v>537796.68999999994</v>
      </c>
      <c r="I641" s="139" t="s">
        <v>871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877.22</v>
      </c>
      <c r="H643" s="103">
        <f>H407</f>
        <v>877.22</v>
      </c>
      <c r="I643" s="139" t="s">
        <v>481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82492.95</v>
      </c>
      <c r="H644" s="103">
        <f>G407</f>
        <v>82492.95</v>
      </c>
      <c r="I644" s="139" t="s">
        <v>482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83370.17</v>
      </c>
      <c r="H645" s="103">
        <f>L407</f>
        <v>83370.169999999984</v>
      </c>
      <c r="I645" s="139" t="s">
        <v>478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359279.99</v>
      </c>
      <c r="H646" s="103">
        <f>L207+L225+L243</f>
        <v>359279.99</v>
      </c>
      <c r="I646" s="139" t="s">
        <v>397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251386.07</v>
      </c>
      <c r="H647" s="103">
        <f>(J256+J337)-(J254+J335)</f>
        <v>251386.07</v>
      </c>
      <c r="I647" s="139" t="s">
        <v>703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157753.11000000002</v>
      </c>
      <c r="H648" s="103">
        <f>H597</f>
        <v>157753.10999999999</v>
      </c>
      <c r="I648" s="139" t="s">
        <v>389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66899.070000000007</v>
      </c>
      <c r="H649" s="103">
        <f>I597</f>
        <v>66899.070000000007</v>
      </c>
      <c r="I649" s="139" t="s">
        <v>390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134627.81</v>
      </c>
      <c r="H650" s="103">
        <f>J597</f>
        <v>134627.81</v>
      </c>
      <c r="I650" s="139" t="s">
        <v>391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15000</v>
      </c>
      <c r="H651" s="103">
        <f>K262+K344</f>
        <v>15000</v>
      </c>
      <c r="I651" s="139" t="s">
        <v>398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0</v>
      </c>
      <c r="H652" s="103">
        <f>K263</f>
        <v>0</v>
      </c>
      <c r="I652" s="139" t="s">
        <v>399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0</v>
      </c>
      <c r="H653" s="103">
        <f>K264+K345</f>
        <v>0</v>
      </c>
      <c r="I653" s="139" t="s">
        <v>400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82492.95</v>
      </c>
      <c r="H654" s="103">
        <f>K265+K346</f>
        <v>82492.95</v>
      </c>
      <c r="I654" s="139" t="s">
        <v>401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6756556.3700000001</v>
      </c>
      <c r="G659" s="19">
        <f>(L228+L308+L358)</f>
        <v>1932534.2300000002</v>
      </c>
      <c r="H659" s="19">
        <f>(L246+L327+L359)</f>
        <v>5865039.8799999999</v>
      </c>
      <c r="I659" s="19">
        <f>SUM(F659:H659)</f>
        <v>14554130.48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100861.41339714946</v>
      </c>
      <c r="G660" s="19">
        <f>(L358/IF(SUM(L357:L359)=0,1,SUM(L357:L359))*(SUM(G96:G109)))</f>
        <v>0</v>
      </c>
      <c r="H660" s="19">
        <f>(L359/IF(SUM(L357:L359)=0,1,SUM(L357:L359))*(SUM(G96:G109)))</f>
        <v>102374.79660285052</v>
      </c>
      <c r="I660" s="19">
        <f>SUM(F660:H660)</f>
        <v>203236.20999999996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157753.11000000002</v>
      </c>
      <c r="G661" s="19">
        <f>(L225+L305)-(J225+J305)</f>
        <v>66899.070000000007</v>
      </c>
      <c r="H661" s="19">
        <f>(L243+L324)-(J243+J324)</f>
        <v>134627.81</v>
      </c>
      <c r="I661" s="19">
        <f>SUM(F661:H661)</f>
        <v>359279.99</v>
      </c>
      <c r="J661"/>
      <c r="K661" s="13"/>
      <c r="L661" s="13"/>
      <c r="M661" s="8"/>
    </row>
    <row r="662" spans="1:13" s="3" customFormat="1" ht="12" customHeight="1" x14ac:dyDescent="0.15">
      <c r="A662" s="195" t="s">
        <v>129</v>
      </c>
      <c r="B662" s="165"/>
      <c r="C662" s="165"/>
      <c r="D662" s="165"/>
      <c r="E662" s="165"/>
      <c r="F662" s="196">
        <f>SUM(F574:F586)+SUM(H601:H603)+SUM(L610)</f>
        <v>72266.959999999992</v>
      </c>
      <c r="G662" s="196">
        <f>SUM(G574:G586)+SUM(I601:I603)+L611</f>
        <v>72727.560000000012</v>
      </c>
      <c r="H662" s="196">
        <f>SUM(H574:H586)+SUM(J601:J603)+L612</f>
        <v>346378.35</v>
      </c>
      <c r="I662" s="19">
        <f>SUM(F662:H662)</f>
        <v>491372.87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6425674.8866028506</v>
      </c>
      <c r="G663" s="19">
        <f>G659-SUM(G660:G662)</f>
        <v>1792907.6</v>
      </c>
      <c r="H663" s="19">
        <f>H659-SUM(H660:H662)</f>
        <v>5281658.9233971499</v>
      </c>
      <c r="I663" s="19">
        <f>I659-SUM(I660:I662)</f>
        <v>13500241.41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4">
        <v>411.59</v>
      </c>
      <c r="G664" s="245">
        <v>120.99</v>
      </c>
      <c r="H664" s="245">
        <v>247.43</v>
      </c>
      <c r="I664" s="19">
        <f>SUM(F664:H664)</f>
        <v>780.01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15611.83</v>
      </c>
      <c r="G666" s="19">
        <f>ROUND(G663/G664,2)</f>
        <v>14818.64</v>
      </c>
      <c r="H666" s="19">
        <f>ROUND(H663/H664,2)</f>
        <v>21346.07</v>
      </c>
      <c r="I666" s="19">
        <f>ROUND(I663/I664,2)</f>
        <v>17307.78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18.91</v>
      </c>
      <c r="I669" s="19">
        <f>SUM(F669:H669)</f>
        <v>18.91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15611.83</v>
      </c>
      <c r="G671" s="19">
        <f>ROUND((G663+G668)/(G664+G669),2)</f>
        <v>14818.64</v>
      </c>
      <c r="H671" s="19">
        <f>ROUND((H663+H668)/(H664+H669),2)</f>
        <v>19830.509999999998</v>
      </c>
      <c r="I671" s="19">
        <f>ROUND((I663+I668)/(I664+I669),2)</f>
        <v>16898.11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0" t="s">
        <v>785</v>
      </c>
      <c r="B1" s="229" t="str">
        <f>'DOE25'!A2</f>
        <v>Littleton School District - SAU 84</v>
      </c>
      <c r="C1" s="235" t="s">
        <v>839</v>
      </c>
    </row>
    <row r="2" spans="1:3" x14ac:dyDescent="0.2">
      <c r="A2" s="230"/>
      <c r="B2" s="229"/>
    </row>
    <row r="3" spans="1:3" x14ac:dyDescent="0.2">
      <c r="A3" s="270" t="s">
        <v>784</v>
      </c>
      <c r="B3" s="270"/>
      <c r="C3" s="270"/>
    </row>
    <row r="4" spans="1:3" x14ac:dyDescent="0.2">
      <c r="A4" s="233"/>
      <c r="B4" s="234" t="str">
        <f>'DOE25'!H1</f>
        <v>DOE 25  2011-2012</v>
      </c>
      <c r="C4" s="233"/>
    </row>
    <row r="5" spans="1:3" x14ac:dyDescent="0.2">
      <c r="A5" s="230"/>
      <c r="B5" s="229"/>
    </row>
    <row r="6" spans="1:3" x14ac:dyDescent="0.2">
      <c r="A6" s="224"/>
      <c r="B6" s="269" t="s">
        <v>783</v>
      </c>
      <c r="C6" s="269"/>
    </row>
    <row r="7" spans="1:3" x14ac:dyDescent="0.2">
      <c r="A7" s="236" t="s">
        <v>786</v>
      </c>
      <c r="B7" s="267" t="s">
        <v>782</v>
      </c>
      <c r="C7" s="268"/>
    </row>
    <row r="8" spans="1:3" x14ac:dyDescent="0.2">
      <c r="B8" s="225" t="s">
        <v>54</v>
      </c>
      <c r="C8" s="225" t="s">
        <v>776</v>
      </c>
    </row>
    <row r="9" spans="1:3" x14ac:dyDescent="0.2">
      <c r="A9" s="33" t="s">
        <v>777</v>
      </c>
      <c r="B9" s="226">
        <f>'DOE25'!F196+'DOE25'!F214+'DOE25'!F232+'DOE25'!F275+'DOE25'!F294+'DOE25'!F313</f>
        <v>3616349.8100000005</v>
      </c>
      <c r="C9" s="226">
        <f>'DOE25'!G196+'DOE25'!G214+'DOE25'!G232+'DOE25'!G275+'DOE25'!G294+'DOE25'!G313</f>
        <v>1833327.0199999998</v>
      </c>
    </row>
    <row r="10" spans="1:3" x14ac:dyDescent="0.2">
      <c r="A10" t="s">
        <v>779</v>
      </c>
      <c r="B10" s="237">
        <v>3530088.71</v>
      </c>
      <c r="C10" s="237">
        <v>1789180.51</v>
      </c>
    </row>
    <row r="11" spans="1:3" x14ac:dyDescent="0.2">
      <c r="A11" t="s">
        <v>780</v>
      </c>
      <c r="B11" s="237">
        <v>86261.1</v>
      </c>
      <c r="C11" s="237">
        <v>44146.51</v>
      </c>
    </row>
    <row r="12" spans="1:3" x14ac:dyDescent="0.2">
      <c r="A12" t="s">
        <v>781</v>
      </c>
      <c r="B12" s="237">
        <v>0</v>
      </c>
      <c r="C12" s="237">
        <v>0</v>
      </c>
    </row>
    <row r="13" spans="1:3" x14ac:dyDescent="0.2">
      <c r="A13" t="str">
        <f>IF(B9=B13,IF(C9=C13,"Check Total OK","Check Total Error"),"Check Total Error")</f>
        <v>Check Total OK</v>
      </c>
      <c r="B13" s="228">
        <f>SUM(B10:B12)</f>
        <v>3616349.81</v>
      </c>
      <c r="C13" s="228">
        <f>SUM(C10:C12)</f>
        <v>1833327.02</v>
      </c>
    </row>
    <row r="14" spans="1:3" x14ac:dyDescent="0.2">
      <c r="B14" s="227"/>
      <c r="C14" s="227"/>
    </row>
    <row r="15" spans="1:3" x14ac:dyDescent="0.2">
      <c r="B15" s="269" t="s">
        <v>783</v>
      </c>
      <c r="C15" s="269"/>
    </row>
    <row r="16" spans="1:3" x14ac:dyDescent="0.2">
      <c r="A16" s="236" t="s">
        <v>787</v>
      </c>
      <c r="B16" s="267" t="s">
        <v>707</v>
      </c>
      <c r="C16" s="268"/>
    </row>
    <row r="17" spans="1:3" x14ac:dyDescent="0.2">
      <c r="B17" s="225" t="s">
        <v>54</v>
      </c>
      <c r="C17" s="225" t="s">
        <v>776</v>
      </c>
    </row>
    <row r="18" spans="1:3" x14ac:dyDescent="0.2">
      <c r="A18" s="33" t="s">
        <v>777</v>
      </c>
      <c r="B18" s="226">
        <f>'DOE25'!F197+'DOE25'!F215+'DOE25'!F233+'DOE25'!F276+'DOE25'!F295+'DOE25'!F314</f>
        <v>1346546.34</v>
      </c>
      <c r="C18" s="226">
        <f>'DOE25'!G197+'DOE25'!G215+'DOE25'!G233+'DOE25'!G276+'DOE25'!G295+'DOE25'!G314</f>
        <v>706654.67000000016</v>
      </c>
    </row>
    <row r="19" spans="1:3" x14ac:dyDescent="0.2">
      <c r="A19" t="s">
        <v>779</v>
      </c>
      <c r="B19" s="237">
        <v>713142.49999999988</v>
      </c>
      <c r="C19" s="237">
        <v>374250.38000000018</v>
      </c>
    </row>
    <row r="20" spans="1:3" x14ac:dyDescent="0.2">
      <c r="A20" t="s">
        <v>780</v>
      </c>
      <c r="B20" s="237">
        <v>573075.27</v>
      </c>
      <c r="C20" s="237">
        <v>300744.43</v>
      </c>
    </row>
    <row r="21" spans="1:3" x14ac:dyDescent="0.2">
      <c r="A21" t="s">
        <v>781</v>
      </c>
      <c r="B21" s="237">
        <v>60328.57</v>
      </c>
      <c r="C21" s="237">
        <v>31659.86</v>
      </c>
    </row>
    <row r="22" spans="1:3" x14ac:dyDescent="0.2">
      <c r="A22" t="str">
        <f>IF(B18=B22,IF(C18=C22,"Check Total OK","Check Total Error"),"Check Total Error")</f>
        <v>Check Total OK</v>
      </c>
      <c r="B22" s="228">
        <f>SUM(B19:B21)</f>
        <v>1346546.34</v>
      </c>
      <c r="C22" s="228">
        <f>SUM(C19:C21)</f>
        <v>706654.67000000016</v>
      </c>
    </row>
    <row r="23" spans="1:3" x14ac:dyDescent="0.2">
      <c r="B23" s="227"/>
      <c r="C23" s="227"/>
    </row>
    <row r="24" spans="1:3" x14ac:dyDescent="0.2">
      <c r="B24" s="269" t="s">
        <v>783</v>
      </c>
      <c r="C24" s="269"/>
    </row>
    <row r="25" spans="1:3" x14ac:dyDescent="0.2">
      <c r="A25" s="236" t="s">
        <v>788</v>
      </c>
      <c r="B25" s="267" t="s">
        <v>708</v>
      </c>
      <c r="C25" s="268"/>
    </row>
    <row r="26" spans="1:3" x14ac:dyDescent="0.2">
      <c r="B26" s="225" t="s">
        <v>54</v>
      </c>
      <c r="C26" s="225" t="s">
        <v>776</v>
      </c>
    </row>
    <row r="27" spans="1:3" x14ac:dyDescent="0.2">
      <c r="A27" s="33" t="s">
        <v>777</v>
      </c>
      <c r="B27" s="231">
        <f>'DOE25'!F198+'DOE25'!F216+'DOE25'!F234+'DOE25'!F277+'DOE25'!F296+'DOE25'!F315</f>
        <v>685212.03</v>
      </c>
      <c r="C27" s="231">
        <f>'DOE25'!G198+'DOE25'!G216+'DOE25'!G234+'DOE25'!G277+'DOE25'!G296+'DOE25'!G315</f>
        <v>289981.01</v>
      </c>
    </row>
    <row r="28" spans="1:3" x14ac:dyDescent="0.2">
      <c r="A28" t="s">
        <v>779</v>
      </c>
      <c r="B28" s="237">
        <v>620469.28</v>
      </c>
      <c r="C28" s="237">
        <v>262581.95</v>
      </c>
    </row>
    <row r="29" spans="1:3" x14ac:dyDescent="0.2">
      <c r="A29" t="s">
        <v>780</v>
      </c>
      <c r="B29" s="237">
        <v>64742.75</v>
      </c>
      <c r="C29" s="237">
        <v>27399.06</v>
      </c>
    </row>
    <row r="30" spans="1:3" x14ac:dyDescent="0.2">
      <c r="A30" t="s">
        <v>781</v>
      </c>
      <c r="B30" s="237">
        <v>0</v>
      </c>
      <c r="C30" s="237">
        <v>0</v>
      </c>
    </row>
    <row r="31" spans="1:3" x14ac:dyDescent="0.2">
      <c r="A31" t="str">
        <f>IF(B27=B31,IF(C27=C31,"Check Total OK","Check Total Error"),"Check Total Error")</f>
        <v>Check Total OK</v>
      </c>
      <c r="B31" s="228">
        <f>SUM(B28:B30)</f>
        <v>685212.03</v>
      </c>
      <c r="C31" s="228">
        <f>SUM(C28:C30)</f>
        <v>289981.01</v>
      </c>
    </row>
    <row r="33" spans="1:3" x14ac:dyDescent="0.2">
      <c r="B33" s="269" t="s">
        <v>783</v>
      </c>
      <c r="C33" s="269"/>
    </row>
    <row r="34" spans="1:3" x14ac:dyDescent="0.2">
      <c r="A34" s="236" t="s">
        <v>789</v>
      </c>
      <c r="B34" s="267" t="s">
        <v>709</v>
      </c>
      <c r="C34" s="268"/>
    </row>
    <row r="35" spans="1:3" x14ac:dyDescent="0.2">
      <c r="B35" s="225" t="s">
        <v>54</v>
      </c>
      <c r="C35" s="225" t="s">
        <v>776</v>
      </c>
    </row>
    <row r="36" spans="1:3" x14ac:dyDescent="0.2">
      <c r="A36" s="33" t="s">
        <v>777</v>
      </c>
      <c r="B36" s="232">
        <f>'DOE25'!F199+'DOE25'!F217+'DOE25'!F235+'DOE25'!F278+'DOE25'!F297+'DOE25'!F316</f>
        <v>144668.42000000001</v>
      </c>
      <c r="C36" s="232">
        <f>'DOE25'!G199+'DOE25'!G217+'DOE25'!G235+'DOE25'!G278+'DOE25'!G297+'DOE25'!G316</f>
        <v>21537.289999999997</v>
      </c>
    </row>
    <row r="37" spans="1:3" x14ac:dyDescent="0.2">
      <c r="A37" t="s">
        <v>779</v>
      </c>
      <c r="B37" s="237">
        <v>144668.42000000001</v>
      </c>
      <c r="C37" s="237">
        <v>21537.29</v>
      </c>
    </row>
    <row r="38" spans="1:3" x14ac:dyDescent="0.2">
      <c r="A38" t="s">
        <v>780</v>
      </c>
      <c r="B38" s="237">
        <v>0</v>
      </c>
      <c r="C38" s="237">
        <v>0</v>
      </c>
    </row>
    <row r="39" spans="1:3" x14ac:dyDescent="0.2">
      <c r="A39" t="s">
        <v>781</v>
      </c>
      <c r="B39" s="237">
        <v>0</v>
      </c>
      <c r="C39" s="237">
        <v>0</v>
      </c>
    </row>
    <row r="40" spans="1:3" x14ac:dyDescent="0.2">
      <c r="A40" t="str">
        <f>IF(B36=B40,IF(C36=C40,"Check Total OK","Check Total Error"),"Check Total Error")</f>
        <v>Check Total OK</v>
      </c>
      <c r="B40" s="228">
        <f>SUM(B37:B39)</f>
        <v>144668.42000000001</v>
      </c>
      <c r="C40" s="228">
        <f>SUM(C37:C39)</f>
        <v>21537.29</v>
      </c>
    </row>
    <row r="41" spans="1:3" x14ac:dyDescent="0.2">
      <c r="B41" s="227"/>
      <c r="C41" s="227"/>
    </row>
    <row r="42" spans="1:3" x14ac:dyDescent="0.2">
      <c r="A42" s="33" t="s">
        <v>837</v>
      </c>
      <c r="B42" s="227"/>
      <c r="C42" s="227"/>
    </row>
    <row r="43" spans="1:3" x14ac:dyDescent="0.2">
      <c r="A43" t="s">
        <v>841</v>
      </c>
      <c r="B43" s="227"/>
      <c r="C43" s="227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1" t="s">
        <v>778</v>
      </c>
    </row>
    <row r="49" spans="1:1" x14ac:dyDescent="0.2">
      <c r="A49" s="265" t="s">
        <v>844</v>
      </c>
    </row>
    <row r="50" spans="1:1" x14ac:dyDescent="0.2">
      <c r="A50" s="265" t="s">
        <v>838</v>
      </c>
    </row>
    <row r="51" spans="1:1" x14ac:dyDescent="0.2">
      <c r="A51" s="265" t="s">
        <v>845</v>
      </c>
    </row>
    <row r="52" spans="1:1" x14ac:dyDescent="0.2">
      <c r="A52" s="266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69" t="s">
        <v>790</v>
      </c>
      <c r="B1" s="274"/>
      <c r="C1" s="274"/>
      <c r="D1" s="274"/>
      <c r="E1" s="274"/>
      <c r="F1" s="274"/>
      <c r="G1" s="274"/>
      <c r="H1" s="274"/>
      <c r="I1" s="177"/>
    </row>
    <row r="2" spans="1:9" x14ac:dyDescent="0.2">
      <c r="A2" s="33" t="s">
        <v>717</v>
      </c>
      <c r="B2" s="262" t="str">
        <f>'DOE25'!A2</f>
        <v>Littleton School District - SAU 84</v>
      </c>
      <c r="C2" s="177"/>
      <c r="D2" s="177" t="s">
        <v>792</v>
      </c>
      <c r="E2" s="177" t="s">
        <v>794</v>
      </c>
      <c r="F2" s="271" t="s">
        <v>821</v>
      </c>
      <c r="G2" s="272"/>
      <c r="H2" s="273"/>
      <c r="I2" s="177"/>
    </row>
    <row r="3" spans="1:9" x14ac:dyDescent="0.2">
      <c r="A3" s="177" t="s">
        <v>94</v>
      </c>
      <c r="B3" s="225" t="s">
        <v>10</v>
      </c>
      <c r="C3" s="177" t="s">
        <v>5</v>
      </c>
      <c r="D3" s="177" t="s">
        <v>793</v>
      </c>
      <c r="E3" s="177" t="s">
        <v>795</v>
      </c>
      <c r="F3" s="238" t="s">
        <v>835</v>
      </c>
      <c r="G3" s="214" t="s">
        <v>59</v>
      </c>
      <c r="H3" s="239" t="s">
        <v>798</v>
      </c>
    </row>
    <row r="4" spans="1:9" x14ac:dyDescent="0.2">
      <c r="A4" s="248" t="s">
        <v>800</v>
      </c>
      <c r="B4" s="248" t="s">
        <v>816</v>
      </c>
      <c r="C4" s="248" t="s">
        <v>791</v>
      </c>
      <c r="D4" s="248" t="s">
        <v>817</v>
      </c>
      <c r="E4" s="248" t="s">
        <v>817</v>
      </c>
      <c r="F4" s="247" t="s">
        <v>797</v>
      </c>
      <c r="G4" s="248" t="s">
        <v>811</v>
      </c>
      <c r="H4" s="249" t="s">
        <v>799</v>
      </c>
    </row>
    <row r="5" spans="1:9" x14ac:dyDescent="0.2">
      <c r="A5" s="32">
        <v>1000</v>
      </c>
      <c r="B5" t="s">
        <v>195</v>
      </c>
      <c r="C5" s="242">
        <f t="shared" ref="C5:C19" si="0">SUM(D5:H5)</f>
        <v>8621892.1500000004</v>
      </c>
      <c r="D5" s="20">
        <f>SUM('DOE25'!L196:L199)+SUM('DOE25'!L214:L217)+SUM('DOE25'!L232:L235)-F5-G5</f>
        <v>8553336.1100000013</v>
      </c>
      <c r="E5" s="240"/>
      <c r="F5" s="252">
        <f>SUM('DOE25'!J196:J199)+SUM('DOE25'!J214:J217)+SUM('DOE25'!J232:J235)</f>
        <v>41951.100000000006</v>
      </c>
      <c r="G5" s="53">
        <f>SUM('DOE25'!K196:K199)+SUM('DOE25'!K214:K217)+SUM('DOE25'!K232:K235)</f>
        <v>26604.940000000002</v>
      </c>
      <c r="H5" s="256"/>
    </row>
    <row r="6" spans="1:9" x14ac:dyDescent="0.2">
      <c r="A6" s="32">
        <v>2100</v>
      </c>
      <c r="B6" t="s">
        <v>801</v>
      </c>
      <c r="C6" s="242">
        <f t="shared" si="0"/>
        <v>722157.32000000007</v>
      </c>
      <c r="D6" s="20">
        <f>'DOE25'!L201+'DOE25'!L219+'DOE25'!L237-F6-G6</f>
        <v>716611.68</v>
      </c>
      <c r="E6" s="240"/>
      <c r="F6" s="252">
        <f>'DOE25'!J201+'DOE25'!J219+'DOE25'!J237</f>
        <v>2408.67</v>
      </c>
      <c r="G6" s="53">
        <f>'DOE25'!K201+'DOE25'!K219+'DOE25'!K237</f>
        <v>3136.9700000000003</v>
      </c>
      <c r="H6" s="256"/>
    </row>
    <row r="7" spans="1:9" x14ac:dyDescent="0.2">
      <c r="A7" s="32">
        <v>2200</v>
      </c>
      <c r="B7" t="s">
        <v>834</v>
      </c>
      <c r="C7" s="242">
        <f t="shared" si="0"/>
        <v>125323.81</v>
      </c>
      <c r="D7" s="20">
        <f>'DOE25'!L202+'DOE25'!L220+'DOE25'!L238-F7-G7</f>
        <v>108712.23999999999</v>
      </c>
      <c r="E7" s="240"/>
      <c r="F7" s="252">
        <f>'DOE25'!J202+'DOE25'!J220+'DOE25'!J238</f>
        <v>0</v>
      </c>
      <c r="G7" s="53">
        <f>'DOE25'!K202+'DOE25'!K220+'DOE25'!K238</f>
        <v>16611.57</v>
      </c>
      <c r="H7" s="256"/>
    </row>
    <row r="8" spans="1:9" x14ac:dyDescent="0.2">
      <c r="A8" s="32">
        <v>2300</v>
      </c>
      <c r="B8" t="s">
        <v>802</v>
      </c>
      <c r="C8" s="242">
        <f t="shared" si="0"/>
        <v>250057.6999999999</v>
      </c>
      <c r="D8" s="240"/>
      <c r="E8" s="20">
        <f>'DOE25'!L203+'DOE25'!L221+'DOE25'!L239-F8-G8-D9-D11</f>
        <v>233328.2699999999</v>
      </c>
      <c r="F8" s="252">
        <f>'DOE25'!J203+'DOE25'!J221+'DOE25'!J239</f>
        <v>8281.99</v>
      </c>
      <c r="G8" s="53">
        <f>'DOE25'!K203+'DOE25'!K221+'DOE25'!K239</f>
        <v>8447.44</v>
      </c>
      <c r="H8" s="256"/>
    </row>
    <row r="9" spans="1:9" x14ac:dyDescent="0.2">
      <c r="A9" s="32">
        <v>2310</v>
      </c>
      <c r="B9" t="s">
        <v>818</v>
      </c>
      <c r="C9" s="242">
        <f t="shared" si="0"/>
        <v>117342.93000000002</v>
      </c>
      <c r="D9" s="241">
        <v>117342.93000000002</v>
      </c>
      <c r="E9" s="240"/>
      <c r="F9" s="255"/>
      <c r="G9" s="253"/>
      <c r="H9" s="256"/>
    </row>
    <row r="10" spans="1:9" x14ac:dyDescent="0.2">
      <c r="A10" s="32">
        <v>2317</v>
      </c>
      <c r="B10" t="s">
        <v>819</v>
      </c>
      <c r="C10" s="242">
        <f t="shared" si="0"/>
        <v>30622</v>
      </c>
      <c r="D10" s="240"/>
      <c r="E10" s="241">
        <v>30622</v>
      </c>
      <c r="F10" s="255"/>
      <c r="G10" s="253"/>
      <c r="H10" s="256"/>
    </row>
    <row r="11" spans="1:9" x14ac:dyDescent="0.2">
      <c r="A11" s="32">
        <v>2321</v>
      </c>
      <c r="B11" t="s">
        <v>831</v>
      </c>
      <c r="C11" s="242">
        <f t="shared" si="0"/>
        <v>205068.01</v>
      </c>
      <c r="D11" s="241">
        <v>205068.01</v>
      </c>
      <c r="E11" s="240"/>
      <c r="F11" s="255"/>
      <c r="G11" s="253"/>
      <c r="H11" s="256"/>
    </row>
    <row r="12" spans="1:9" x14ac:dyDescent="0.2">
      <c r="A12" s="32">
        <v>2400</v>
      </c>
      <c r="B12" t="s">
        <v>715</v>
      </c>
      <c r="C12" s="242">
        <f t="shared" si="0"/>
        <v>807951.8</v>
      </c>
      <c r="D12" s="20">
        <f>'DOE25'!L204+'DOE25'!L222+'DOE25'!L240-F12-G12</f>
        <v>793925.56</v>
      </c>
      <c r="E12" s="240"/>
      <c r="F12" s="252">
        <f>'DOE25'!J204+'DOE25'!J222+'DOE25'!J240</f>
        <v>1910.76</v>
      </c>
      <c r="G12" s="53">
        <f>'DOE25'!K204+'DOE25'!K222+'DOE25'!K240</f>
        <v>12115.48</v>
      </c>
      <c r="H12" s="256"/>
    </row>
    <row r="13" spans="1:9" x14ac:dyDescent="0.2">
      <c r="A13" s="32">
        <v>2500</v>
      </c>
      <c r="B13" t="s">
        <v>803</v>
      </c>
      <c r="C13" s="242">
        <f t="shared" si="0"/>
        <v>185786.18000000002</v>
      </c>
      <c r="D13" s="240"/>
      <c r="E13" s="20">
        <f>'DOE25'!L205+'DOE25'!L223+'DOE25'!L241-F13-G13</f>
        <v>185314.17</v>
      </c>
      <c r="F13" s="252">
        <f>'DOE25'!J205+'DOE25'!J223+'DOE25'!J241</f>
        <v>0</v>
      </c>
      <c r="G13" s="53">
        <f>'DOE25'!K205+'DOE25'!K223+'DOE25'!K241</f>
        <v>472.01</v>
      </c>
      <c r="H13" s="256"/>
    </row>
    <row r="14" spans="1:9" x14ac:dyDescent="0.2">
      <c r="A14" s="32">
        <v>2600</v>
      </c>
      <c r="B14" t="s">
        <v>832</v>
      </c>
      <c r="C14" s="242">
        <f t="shared" si="0"/>
        <v>1308408.52</v>
      </c>
      <c r="D14" s="20">
        <f>'DOE25'!L206+'DOE25'!L224+'DOE25'!L242-F14-G14</f>
        <v>1296670.77</v>
      </c>
      <c r="E14" s="240"/>
      <c r="F14" s="252">
        <f>'DOE25'!J206+'DOE25'!J224+'DOE25'!J242</f>
        <v>11257.8</v>
      </c>
      <c r="G14" s="53">
        <f>'DOE25'!K206+'DOE25'!K224+'DOE25'!K242</f>
        <v>479.95</v>
      </c>
      <c r="H14" s="256"/>
    </row>
    <row r="15" spans="1:9" x14ac:dyDescent="0.2">
      <c r="A15" s="32">
        <v>2700</v>
      </c>
      <c r="B15" t="s">
        <v>804</v>
      </c>
      <c r="C15" s="242">
        <f t="shared" si="0"/>
        <v>359279.99</v>
      </c>
      <c r="D15" s="20">
        <f>'DOE25'!L207+'DOE25'!L225+'DOE25'!L243-F15-G15</f>
        <v>359279.99</v>
      </c>
      <c r="E15" s="240"/>
      <c r="F15" s="252">
        <f>'DOE25'!J207+'DOE25'!J225+'DOE25'!J243</f>
        <v>0</v>
      </c>
      <c r="G15" s="53">
        <f>'DOE25'!K207+'DOE25'!K225+'DOE25'!K243</f>
        <v>0</v>
      </c>
      <c r="H15" s="256"/>
    </row>
    <row r="16" spans="1:9" x14ac:dyDescent="0.2">
      <c r="A16" s="32">
        <v>2800</v>
      </c>
      <c r="B16" t="s">
        <v>805</v>
      </c>
      <c r="C16" s="242">
        <f t="shared" si="0"/>
        <v>236465.37</v>
      </c>
      <c r="D16" s="240"/>
      <c r="E16" s="20">
        <f>'DOE25'!L208+'DOE25'!L226+'DOE25'!L244-F16-G16</f>
        <v>190427.84999999998</v>
      </c>
      <c r="F16" s="252">
        <f>'DOE25'!J208+'DOE25'!J226+'DOE25'!J244</f>
        <v>46037.520000000004</v>
      </c>
      <c r="G16" s="53">
        <f>'DOE25'!K208+'DOE25'!K226+'DOE25'!K244</f>
        <v>0</v>
      </c>
      <c r="H16" s="256"/>
    </row>
    <row r="17" spans="1:8" x14ac:dyDescent="0.2">
      <c r="A17" s="32">
        <v>1600</v>
      </c>
      <c r="B17" t="s">
        <v>806</v>
      </c>
      <c r="C17" s="242">
        <f t="shared" si="0"/>
        <v>0</v>
      </c>
      <c r="D17" s="20">
        <f>'DOE25'!L250-F17-G17</f>
        <v>0</v>
      </c>
      <c r="E17" s="240"/>
      <c r="F17" s="252">
        <f>'DOE25'!J250</f>
        <v>0</v>
      </c>
      <c r="G17" s="53">
        <f>'DOE25'!K250</f>
        <v>0</v>
      </c>
      <c r="H17" s="256"/>
    </row>
    <row r="18" spans="1:8" x14ac:dyDescent="0.2">
      <c r="A18" s="32">
        <v>1700</v>
      </c>
      <c r="B18" t="s">
        <v>807</v>
      </c>
      <c r="C18" s="242">
        <f t="shared" si="0"/>
        <v>0</v>
      </c>
      <c r="D18" s="20">
        <f>'DOE25'!L251-F18-G18</f>
        <v>0</v>
      </c>
      <c r="E18" s="240"/>
      <c r="F18" s="252">
        <f>'DOE25'!J251</f>
        <v>0</v>
      </c>
      <c r="G18" s="53">
        <f>'DOE25'!K251</f>
        <v>0</v>
      </c>
      <c r="H18" s="256"/>
    </row>
    <row r="19" spans="1:8" x14ac:dyDescent="0.2">
      <c r="A19" s="32">
        <v>1800</v>
      </c>
      <c r="B19" t="s">
        <v>808</v>
      </c>
      <c r="C19" s="242">
        <f t="shared" si="0"/>
        <v>0</v>
      </c>
      <c r="D19" s="20">
        <f>'DOE25'!L252-F19-G19</f>
        <v>0</v>
      </c>
      <c r="E19" s="240"/>
      <c r="F19" s="252">
        <f>'DOE25'!J252</f>
        <v>0</v>
      </c>
      <c r="G19" s="53">
        <f>'DOE25'!K252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796</v>
      </c>
      <c r="F21" s="257"/>
      <c r="G21" s="52"/>
      <c r="H21" s="258"/>
    </row>
    <row r="22" spans="1:8" x14ac:dyDescent="0.2">
      <c r="A22" s="32">
        <v>4000</v>
      </c>
      <c r="B22" t="s">
        <v>833</v>
      </c>
      <c r="C22" s="242">
        <f>SUM(D22:H22)</f>
        <v>0</v>
      </c>
      <c r="D22" s="240"/>
      <c r="E22" s="240"/>
      <c r="F22" s="252">
        <f>'DOE25'!L254+'DOE25'!L335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464</v>
      </c>
      <c r="F24" s="257"/>
      <c r="G24" s="52"/>
      <c r="H24" s="258"/>
    </row>
    <row r="25" spans="1:8" x14ac:dyDescent="0.2">
      <c r="A25" s="32" t="s">
        <v>809</v>
      </c>
      <c r="B25" t="s">
        <v>810</v>
      </c>
      <c r="C25" s="242">
        <f>SUM(D25:H25)</f>
        <v>916832.25</v>
      </c>
      <c r="D25" s="240"/>
      <c r="E25" s="240"/>
      <c r="F25" s="255"/>
      <c r="G25" s="253"/>
      <c r="H25" s="254">
        <f>'DOE25'!L259+'DOE25'!L260+'DOE25'!L340+'DOE25'!L341</f>
        <v>916832.25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812</v>
      </c>
      <c r="F27" s="257"/>
      <c r="G27" s="52"/>
      <c r="H27" s="258"/>
    </row>
    <row r="28" spans="1:8" x14ac:dyDescent="0.2">
      <c r="A28" s="32">
        <v>3100</v>
      </c>
      <c r="B28" t="s">
        <v>825</v>
      </c>
      <c r="F28" s="257"/>
      <c r="G28" s="52"/>
      <c r="H28" s="258"/>
    </row>
    <row r="29" spans="1:8" x14ac:dyDescent="0.2">
      <c r="A29" s="32"/>
      <c r="B29" t="s">
        <v>813</v>
      </c>
      <c r="C29" s="242">
        <f>SUM(D29:H29)</f>
        <v>328239.35999999999</v>
      </c>
      <c r="D29" s="20">
        <f>'DOE25'!L357+'DOE25'!L358+'DOE25'!L359-'DOE25'!I366-F29-G29</f>
        <v>326741.20999999996</v>
      </c>
      <c r="E29" s="240"/>
      <c r="F29" s="252">
        <f>'DOE25'!J357+'DOE25'!J358+'DOE25'!J359</f>
        <v>0</v>
      </c>
      <c r="G29" s="53">
        <f>'DOE25'!K357+'DOE25'!K358+'DOE25'!K359</f>
        <v>1498.15</v>
      </c>
      <c r="H29" s="256"/>
    </row>
    <row r="30" spans="1:8" x14ac:dyDescent="0.2">
      <c r="A30" s="32"/>
      <c r="D30" s="20"/>
      <c r="E30" s="240"/>
      <c r="F30" s="252"/>
      <c r="G30" s="53"/>
      <c r="H30" s="256"/>
    </row>
    <row r="31" spans="1:8" x14ac:dyDescent="0.2">
      <c r="A31" s="32" t="s">
        <v>827</v>
      </c>
      <c r="B31" t="s">
        <v>826</v>
      </c>
      <c r="C31" s="242">
        <f>SUM(D31:H31)</f>
        <v>1155360.32</v>
      </c>
      <c r="D31" s="20">
        <f>'DOE25'!L289+'DOE25'!L308+'DOE25'!L327+'DOE25'!L332+'DOE25'!L333+'DOE25'!L334-F31-G31</f>
        <v>980751.97999999986</v>
      </c>
      <c r="E31" s="240"/>
      <c r="F31" s="252">
        <f>'DOE25'!J289+'DOE25'!J308+'DOE25'!J327+'DOE25'!J332+'DOE25'!J333+'DOE25'!J334</f>
        <v>139538.23000000001</v>
      </c>
      <c r="G31" s="53">
        <f>'DOE25'!K289+'DOE25'!K308+'DOE25'!K327+'DOE25'!K332+'DOE25'!K333+'DOE25'!K334</f>
        <v>35070.11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814</v>
      </c>
      <c r="D33" s="243">
        <f>SUM(D5:D31)</f>
        <v>13458440.48</v>
      </c>
      <c r="E33" s="243">
        <f>SUM(E5:E31)</f>
        <v>639692.28999999992</v>
      </c>
      <c r="F33" s="243">
        <f>SUM(F5:F31)</f>
        <v>251386.07</v>
      </c>
      <c r="G33" s="243">
        <f>SUM(G5:G31)</f>
        <v>104436.62</v>
      </c>
      <c r="H33" s="243">
        <f>SUM(H5:H31)</f>
        <v>916832.25</v>
      </c>
    </row>
    <row r="35" spans="2:8" ht="12" thickBot="1" x14ac:dyDescent="0.25">
      <c r="B35" s="250" t="s">
        <v>847</v>
      </c>
      <c r="D35" s="251">
        <f>E33</f>
        <v>639692.28999999992</v>
      </c>
      <c r="E35" s="246"/>
    </row>
    <row r="36" spans="2:8" ht="12" thickTop="1" x14ac:dyDescent="0.2">
      <c r="B36" t="s">
        <v>815</v>
      </c>
      <c r="D36" s="20">
        <f>D33</f>
        <v>13458440.48</v>
      </c>
    </row>
    <row r="38" spans="2:8" x14ac:dyDescent="0.2">
      <c r="B38" s="183" t="s">
        <v>859</v>
      </c>
      <c r="C38" s="263"/>
      <c r="D38" s="264"/>
    </row>
    <row r="39" spans="2:8" x14ac:dyDescent="0.2">
      <c r="B39" t="s">
        <v>824</v>
      </c>
      <c r="D39" s="177" t="str">
        <f>IF(E10&gt;0,"Y","N")</f>
        <v>Y</v>
      </c>
    </row>
    <row r="41" spans="2:8" x14ac:dyDescent="0.2">
      <c r="B41" s="261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Littleton School District - SAU 84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1017455.69</v>
      </c>
      <c r="D8" s="94">
        <f>'DOE25'!G9</f>
        <v>0</v>
      </c>
      <c r="E8" s="94">
        <f>'DOE25'!H9</f>
        <v>0</v>
      </c>
      <c r="F8" s="94">
        <f>'DOE25'!I9</f>
        <v>12663.99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537796.68999999994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0</v>
      </c>
      <c r="E11" s="94">
        <f>'DOE25'!H12</f>
        <v>0</v>
      </c>
      <c r="F11" s="94">
        <f>'DOE25'!I12</f>
        <v>329784.97000000003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-4336.7899999999991</v>
      </c>
      <c r="D12" s="94">
        <f>'DOE25'!G13</f>
        <v>9028.75</v>
      </c>
      <c r="E12" s="94">
        <f>'DOE25'!H13</f>
        <v>294163.25</v>
      </c>
      <c r="F12" s="94">
        <f>'DOE25'!I13</f>
        <v>19831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131063.85</v>
      </c>
      <c r="D13" s="94">
        <f>'DOE25'!G14</f>
        <v>824.85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12122.81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1144182.75</v>
      </c>
      <c r="D18" s="41">
        <f>SUM(D8:D17)</f>
        <v>21976.41</v>
      </c>
      <c r="E18" s="41">
        <f>SUM(E8:E17)</f>
        <v>294163.25</v>
      </c>
      <c r="F18" s="41">
        <f>SUM(F8:F17)</f>
        <v>362279.96</v>
      </c>
      <c r="G18" s="41">
        <f>SUM(G8:G17)</f>
        <v>537796.68999999994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77955.360000000001</v>
      </c>
      <c r="D21" s="94">
        <f>'DOE25'!G22</f>
        <v>11110.58</v>
      </c>
      <c r="E21" s="94">
        <f>'DOE25'!H22</f>
        <v>270994.7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220652.94</v>
      </c>
      <c r="D23" s="94">
        <f>'DOE25'!G24</f>
        <v>189.46</v>
      </c>
      <c r="E23" s="94">
        <f>'DOE25'!H24</f>
        <v>1239.98</v>
      </c>
      <c r="F23" s="94">
        <f>'DOE25'!I24</f>
        <v>-12890.54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571.27</v>
      </c>
      <c r="D28" s="94">
        <f>'DOE25'!G29</f>
        <v>3.06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3741.47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299179.57</v>
      </c>
      <c r="D31" s="41">
        <f>SUM(D21:D30)</f>
        <v>15044.569999999998</v>
      </c>
      <c r="E31" s="41">
        <f>SUM(E21:E30)</f>
        <v>272234.68</v>
      </c>
      <c r="F31" s="41">
        <f>SUM(F21:F30)</f>
        <v>-12890.54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876</v>
      </c>
      <c r="B34" s="6">
        <v>751</v>
      </c>
      <c r="C34" s="94">
        <f>'DOE25'!F35</f>
        <v>0</v>
      </c>
      <c r="D34" s="94">
        <f>'DOE25'!G35</f>
        <v>12122.81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877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883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884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888</v>
      </c>
      <c r="B39" s="6"/>
      <c r="C39" s="24" t="s">
        <v>289</v>
      </c>
      <c r="D39" s="94">
        <f>'DOE25'!G40</f>
        <v>-5190.9699999999975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889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21928.570000000007</v>
      </c>
      <c r="F42" s="94">
        <f>'DOE25'!I43</f>
        <v>375170.5</v>
      </c>
      <c r="G42" s="94">
        <f>'DOE25'!J43</f>
        <v>0</v>
      </c>
      <c r="H42" s="123"/>
      <c r="I42" s="123"/>
    </row>
    <row r="43" spans="1:9" x14ac:dyDescent="0.2">
      <c r="A43" s="1" t="s">
        <v>890</v>
      </c>
      <c r="B43" s="6">
        <v>755</v>
      </c>
      <c r="C43" s="94">
        <f>'DOE25'!F44</f>
        <v>55000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891</v>
      </c>
      <c r="B44" s="6">
        <v>753</v>
      </c>
      <c r="C44" s="94">
        <f>'DOE25'!F45</f>
        <v>40000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892</v>
      </c>
      <c r="B46" s="6">
        <v>760</v>
      </c>
      <c r="C46" s="94">
        <f>'DOE25'!F47</f>
        <v>34121.080000000075</v>
      </c>
      <c r="D46" s="94">
        <f>'DOE25'!G47</f>
        <v>0</v>
      </c>
      <c r="E46" s="94">
        <f>'DOE25'!H47</f>
        <v>0</v>
      </c>
      <c r="F46" s="94">
        <f>'DOE25'!I47</f>
        <v>0</v>
      </c>
      <c r="G46" s="94">
        <f>'DOE25'!J47</f>
        <v>537796.68999999994</v>
      </c>
      <c r="H46" s="123"/>
      <c r="I46" s="123"/>
    </row>
    <row r="47" spans="1:9" x14ac:dyDescent="0.2">
      <c r="A47" s="1" t="s">
        <v>908</v>
      </c>
      <c r="B47" s="6">
        <v>753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0</v>
      </c>
      <c r="H47" s="123"/>
      <c r="I47" s="123"/>
    </row>
    <row r="48" spans="1:9" ht="12" thickBot="1" x14ac:dyDescent="0.25">
      <c r="A48" s="29" t="s">
        <v>893</v>
      </c>
      <c r="B48" s="70">
        <v>770</v>
      </c>
      <c r="C48" s="94">
        <f>'DOE25'!F49</f>
        <v>715882.09999999986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894</v>
      </c>
      <c r="B49" s="48"/>
      <c r="C49" s="41">
        <f>SUM(C34:C48)</f>
        <v>845003.17999999993</v>
      </c>
      <c r="D49" s="41">
        <f>SUM(D34:D48)</f>
        <v>6931.840000000002</v>
      </c>
      <c r="E49" s="41">
        <f>SUM(E34:E48)</f>
        <v>21928.570000000007</v>
      </c>
      <c r="F49" s="41">
        <f>SUM(F34:F48)</f>
        <v>375170.5</v>
      </c>
      <c r="G49" s="41">
        <f>SUM(G34:G48)</f>
        <v>537796.68999999994</v>
      </c>
      <c r="H49" s="123"/>
      <c r="I49" s="123"/>
    </row>
    <row r="50" spans="1:9" ht="12" thickTop="1" x14ac:dyDescent="0.2">
      <c r="A50" s="38" t="s">
        <v>895</v>
      </c>
      <c r="B50" s="2"/>
      <c r="C50" s="41">
        <f>C49+C31</f>
        <v>1144182.75</v>
      </c>
      <c r="D50" s="41">
        <f>D49+D31</f>
        <v>21976.41</v>
      </c>
      <c r="E50" s="41">
        <f>E49+E31</f>
        <v>294163.25</v>
      </c>
      <c r="F50" s="41">
        <f>F49+F31</f>
        <v>362279.96</v>
      </c>
      <c r="G50" s="41">
        <f>G49+G31</f>
        <v>537796.68999999994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7574836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166499.16999999998</v>
      </c>
      <c r="D56" s="24" t="s">
        <v>289</v>
      </c>
      <c r="E56" s="94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0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2491.71</v>
      </c>
      <c r="D58" s="94">
        <f>'DOE25'!G95</f>
        <v>0</v>
      </c>
      <c r="E58" s="94">
        <f>'DOE25'!H95</f>
        <v>0</v>
      </c>
      <c r="F58" s="94">
        <f>'DOE25'!I95</f>
        <v>10.67</v>
      </c>
      <c r="G58" s="94">
        <f>'DOE25'!J95</f>
        <v>877.22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199476.21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85356.34</v>
      </c>
      <c r="D60" s="94">
        <f>SUM('DOE25'!G97:G109)</f>
        <v>3760</v>
      </c>
      <c r="E60" s="94">
        <f>SUM('DOE25'!H97:H109)</f>
        <v>0</v>
      </c>
      <c r="F60" s="94">
        <f>SUM('DOE25'!I97:I109)</f>
        <v>0</v>
      </c>
      <c r="G60" s="94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254347.21999999997</v>
      </c>
      <c r="D61" s="129">
        <f>SUM(D56:D60)</f>
        <v>203236.21</v>
      </c>
      <c r="E61" s="129">
        <f>SUM(E56:E60)</f>
        <v>0</v>
      </c>
      <c r="F61" s="129">
        <f>SUM(F56:F60)</f>
        <v>10.67</v>
      </c>
      <c r="G61" s="129">
        <f>SUM(G56:G60)</f>
        <v>877.22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7829183.2199999997</v>
      </c>
      <c r="D62" s="22">
        <f>D55+D61</f>
        <v>203236.21</v>
      </c>
      <c r="E62" s="22">
        <f>E55+E61</f>
        <v>0</v>
      </c>
      <c r="F62" s="22">
        <f>F55+F61</f>
        <v>10.67</v>
      </c>
      <c r="G62" s="22">
        <f>G55+G61</f>
        <v>877.22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4">
        <f>'DOE25'!F116</f>
        <v>3859666.86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1223858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4">
        <f>'DOE25'!F118</f>
        <v>3344.14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12887.65</v>
      </c>
      <c r="D68" s="94">
        <f>'DOE25'!G119</f>
        <v>0</v>
      </c>
      <c r="E68" s="94">
        <f>'DOE25'!H119</f>
        <v>0</v>
      </c>
      <c r="F68" s="94">
        <f>'DOE25'!I119</f>
        <v>2494064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5099756.6499999994</v>
      </c>
      <c r="D69" s="138">
        <f>D68</f>
        <v>0</v>
      </c>
      <c r="E69" s="138">
        <f>E68</f>
        <v>0</v>
      </c>
      <c r="F69" s="138">
        <f>F68</f>
        <v>2494064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220141.2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226.06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236461.68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0</v>
      </c>
      <c r="D76" s="94">
        <f>SUM('DOE25'!G130:G134)</f>
        <v>4669.58</v>
      </c>
      <c r="E76" s="94">
        <f>SUM('DOE25'!H130:H134)</f>
        <v>0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456828.94</v>
      </c>
      <c r="D77" s="129">
        <f>SUM(D71:D76)</f>
        <v>4669.58</v>
      </c>
      <c r="E77" s="129">
        <f>SUM(E71:E76)</f>
        <v>0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5556585.5899999999</v>
      </c>
      <c r="D80" s="129">
        <f>SUM(D78:D79)+D77+D69</f>
        <v>4669.58</v>
      </c>
      <c r="E80" s="129">
        <f>SUM(E78:E79)+E77+E69</f>
        <v>0</v>
      </c>
      <c r="F80" s="129">
        <f>SUM(F78:F79)+F77+F69</f>
        <v>2494064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217234.24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0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95578.99</v>
      </c>
      <c r="D87" s="94">
        <f>SUM('DOE25'!G152:G160)</f>
        <v>223071.78999999998</v>
      </c>
      <c r="E87" s="94">
        <f>SUM('DOE25'!H152:H160)</f>
        <v>1188824.05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2044.3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314857.52999999997</v>
      </c>
      <c r="D90" s="130">
        <f>SUM(D84:D89)</f>
        <v>223071.78999999998</v>
      </c>
      <c r="E90" s="130">
        <f>SUM(E84:E89)</f>
        <v>1188824.05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0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15000</v>
      </c>
      <c r="E95" s="94">
        <f>'DOE25'!H178</f>
        <v>0</v>
      </c>
      <c r="F95" s="94">
        <f>'DOE25'!I178</f>
        <v>0</v>
      </c>
      <c r="G95" s="94">
        <f>'DOE25'!J178</f>
        <v>82492.95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0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0</v>
      </c>
      <c r="D102" s="85">
        <f>SUM(D92:D101)</f>
        <v>15000</v>
      </c>
      <c r="E102" s="85">
        <f>SUM(E92:E101)</f>
        <v>0</v>
      </c>
      <c r="F102" s="85">
        <f>SUM(F92:F101)</f>
        <v>0</v>
      </c>
      <c r="G102" s="85">
        <f>SUM(G92:G101)</f>
        <v>82492.95</v>
      </c>
    </row>
    <row r="103" spans="1:7" ht="12.75" thickTop="1" thickBot="1" x14ac:dyDescent="0.25">
      <c r="A103" s="33" t="s">
        <v>765</v>
      </c>
      <c r="C103" s="85">
        <f>C62+C80+C90+C102</f>
        <v>13700626.339999998</v>
      </c>
      <c r="D103" s="85">
        <f>D62+D80+D90+D102</f>
        <v>445977.57999999996</v>
      </c>
      <c r="E103" s="85">
        <f>E62+E80+E90+E102</f>
        <v>1188824.05</v>
      </c>
      <c r="F103" s="85">
        <f>F62+F80+F90+F102</f>
        <v>2494074.67</v>
      </c>
      <c r="G103" s="85">
        <f>G62+G80+G102</f>
        <v>83370.17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5210054.7700000005</v>
      </c>
      <c r="D108" s="24" t="s">
        <v>289</v>
      </c>
      <c r="E108" s="94">
        <f>('DOE25'!L275)+('DOE25'!L294)+('DOE25'!L313)</f>
        <v>513702.95000000007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2133241.88</v>
      </c>
      <c r="D109" s="24" t="s">
        <v>289</v>
      </c>
      <c r="E109" s="94">
        <f>('DOE25'!L276)+('DOE25'!L295)+('DOE25'!L314)</f>
        <v>194268.74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1035461.0800000001</v>
      </c>
      <c r="D110" s="24" t="s">
        <v>289</v>
      </c>
      <c r="E110" s="94">
        <f>('DOE25'!L277)+('DOE25'!L296)+('DOE25'!L315)</f>
        <v>28730.19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243134.42</v>
      </c>
      <c r="D111" s="24" t="s">
        <v>289</v>
      </c>
      <c r="E111" s="94">
        <f>+('DOE25'!L278)+('DOE25'!L297)+('DOE25'!L316)</f>
        <v>1605.44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0</v>
      </c>
      <c r="D113" s="24" t="s">
        <v>289</v>
      </c>
      <c r="E113" s="94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8621892.1500000004</v>
      </c>
      <c r="D114" s="85">
        <f>SUM(D108:D113)</f>
        <v>0</v>
      </c>
      <c r="E114" s="85">
        <f>SUM(E108:E113)</f>
        <v>738307.32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722157.32000000007</v>
      </c>
      <c r="D117" s="24" t="s">
        <v>289</v>
      </c>
      <c r="E117" s="94">
        <f>+('DOE25'!L280)+('DOE25'!L299)+('DOE25'!L318)</f>
        <v>348291.25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125323.81</v>
      </c>
      <c r="D118" s="24" t="s">
        <v>289</v>
      </c>
      <c r="E118" s="94">
        <f>+('DOE25'!L281)+('DOE25'!L300)+('DOE25'!L319)</f>
        <v>44161.3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572468.6399999999</v>
      </c>
      <c r="D119" s="24" t="s">
        <v>289</v>
      </c>
      <c r="E119" s="94">
        <f>+('DOE25'!L282)+('DOE25'!L301)+('DOE25'!L320)</f>
        <v>24600.449999999997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807951.8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185786.18000000002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1308408.52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359279.99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236465.37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459036.38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4317841.6300000008</v>
      </c>
      <c r="D127" s="85">
        <f>SUM(D117:D126)</f>
        <v>459036.38</v>
      </c>
      <c r="E127" s="85">
        <f>SUM(E117:E126)</f>
        <v>417053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0</v>
      </c>
      <c r="D129" s="24" t="s">
        <v>289</v>
      </c>
      <c r="E129" s="128">
        <f>'DOE25'!L335</f>
        <v>0</v>
      </c>
      <c r="F129" s="128">
        <f>SUM('DOE25'!L373:'DOE25'!L379)</f>
        <v>2650907.31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560640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356192.25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11535.16</v>
      </c>
      <c r="F133" s="94">
        <f>'DOE25'!K380</f>
        <v>0</v>
      </c>
      <c r="G133" s="94">
        <f>'DOE25'!K433</f>
        <v>0</v>
      </c>
    </row>
    <row r="134" spans="1:7" x14ac:dyDescent="0.2">
      <c r="A134" t="s">
        <v>233</v>
      </c>
      <c r="B134" s="32" t="s">
        <v>234</v>
      </c>
      <c r="C134" s="94">
        <f>'DOE25'!L262</f>
        <v>15000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0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83370.169999999984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-877.21999999998661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1014325.2</v>
      </c>
      <c r="D143" s="140">
        <f>SUM(D129:D142)</f>
        <v>0</v>
      </c>
      <c r="E143" s="140">
        <f>SUM(E129:E142)</f>
        <v>11535.16</v>
      </c>
      <c r="F143" s="140">
        <f>SUM(F129:F142)</f>
        <v>2650907.31</v>
      </c>
      <c r="G143" s="140">
        <f>SUM(G129:G142)</f>
        <v>0</v>
      </c>
    </row>
    <row r="144" spans="1:7" ht="12.75" thickTop="1" thickBot="1" x14ac:dyDescent="0.25">
      <c r="A144" s="33" t="s">
        <v>244</v>
      </c>
      <c r="C144" s="85">
        <f>(C114+C127+C143)</f>
        <v>13954058.98</v>
      </c>
      <c r="D144" s="85">
        <f>(D114+D127+D143)</f>
        <v>459036.38</v>
      </c>
      <c r="E144" s="85">
        <f>(E114+E127+E143)</f>
        <v>1166895.4799999997</v>
      </c>
      <c r="F144" s="85">
        <f>(F114+F127+F143)</f>
        <v>2650907.31</v>
      </c>
      <c r="G144" s="85">
        <f>(G114+G127+G143)</f>
        <v>0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1">
        <f>'DOE25'!F489</f>
        <v>20</v>
      </c>
      <c r="C150" s="151">
        <f>'DOE25'!G489</f>
        <v>17</v>
      </c>
      <c r="D150" s="151">
        <f>'DOE25'!H489</f>
        <v>0</v>
      </c>
      <c r="E150" s="151">
        <f>'DOE25'!I489</f>
        <v>0</v>
      </c>
      <c r="F150" s="151">
        <f>'DOE25'!J489</f>
        <v>0</v>
      </c>
      <c r="G150" s="24" t="s">
        <v>289</v>
      </c>
    </row>
    <row r="151" spans="1:9" x14ac:dyDescent="0.2">
      <c r="A151" s="135" t="s">
        <v>28</v>
      </c>
      <c r="B151" s="150" t="str">
        <f>'DOE25'!F490</f>
        <v>08/02</v>
      </c>
      <c r="C151" s="150" t="str">
        <f>'DOE25'!G490</f>
        <v>06/10</v>
      </c>
      <c r="D151" s="150">
        <f>'DOE25'!H490</f>
        <v>0</v>
      </c>
      <c r="E151" s="150">
        <f>'DOE25'!I490</f>
        <v>0</v>
      </c>
      <c r="F151" s="150">
        <f>'DOE25'!J490</f>
        <v>0</v>
      </c>
      <c r="G151" s="24" t="s">
        <v>289</v>
      </c>
    </row>
    <row r="152" spans="1:9" x14ac:dyDescent="0.2">
      <c r="A152" s="135" t="s">
        <v>29</v>
      </c>
      <c r="B152" s="150" t="str">
        <f>'DOE25'!F491</f>
        <v>08/22</v>
      </c>
      <c r="C152" s="150" t="str">
        <f>'DOE25'!G491</f>
        <v>03/27</v>
      </c>
      <c r="D152" s="150">
        <f>'DOE25'!H491</f>
        <v>0</v>
      </c>
      <c r="E152" s="150">
        <f>'DOE25'!I491</f>
        <v>0</v>
      </c>
      <c r="F152" s="150">
        <f>'DOE25'!J491</f>
        <v>0</v>
      </c>
      <c r="G152" s="24" t="s">
        <v>289</v>
      </c>
    </row>
    <row r="153" spans="1:9" x14ac:dyDescent="0.2">
      <c r="A153" s="135" t="s">
        <v>30</v>
      </c>
      <c r="B153" s="136">
        <f>'DOE25'!F492</f>
        <v>6000000</v>
      </c>
      <c r="C153" s="136">
        <f>'DOE25'!G492</f>
        <v>4160640</v>
      </c>
      <c r="D153" s="136">
        <f>'DOE25'!H492</f>
        <v>0</v>
      </c>
      <c r="E153" s="136">
        <f>'DOE25'!I492</f>
        <v>0</v>
      </c>
      <c r="F153" s="136">
        <f>'DOE25'!J492</f>
        <v>0</v>
      </c>
      <c r="G153" s="24" t="s">
        <v>289</v>
      </c>
    </row>
    <row r="154" spans="1:9" x14ac:dyDescent="0.2">
      <c r="A154" s="135" t="s">
        <v>31</v>
      </c>
      <c r="B154" s="136">
        <f>'DOE25'!F493</f>
        <v>3.9</v>
      </c>
      <c r="C154" s="136">
        <f>'DOE25'!G493</f>
        <v>5.39</v>
      </c>
      <c r="D154" s="136" t="str">
        <f>'DOE25'!H493</f>
        <v>before 100% Fed reimbursement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22" t="s">
        <v>32</v>
      </c>
      <c r="B155" s="136">
        <f>'DOE25'!F494</f>
        <v>3600000</v>
      </c>
      <c r="C155" s="136">
        <f>'DOE25'!G494</f>
        <v>4160640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137">
        <f>SUM(B155:F155)</f>
        <v>7760640</v>
      </c>
    </row>
    <row r="156" spans="1:9" x14ac:dyDescent="0.2">
      <c r="A156" s="22" t="s">
        <v>33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0</v>
      </c>
    </row>
    <row r="157" spans="1:9" x14ac:dyDescent="0.2">
      <c r="A157" s="22" t="s">
        <v>34</v>
      </c>
      <c r="B157" s="136">
        <f>'DOE25'!F496</f>
        <v>300000</v>
      </c>
      <c r="C157" s="136">
        <f>'DOE25'!G496</f>
        <v>260640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si="0"/>
        <v>560640</v>
      </c>
    </row>
    <row r="158" spans="1:9" x14ac:dyDescent="0.2">
      <c r="A158" s="22" t="s">
        <v>35</v>
      </c>
      <c r="B158" s="136">
        <f>'DOE25'!F497</f>
        <v>3300000</v>
      </c>
      <c r="C158" s="136">
        <f>'DOE25'!G497</f>
        <v>3900000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7200000</v>
      </c>
    </row>
    <row r="159" spans="1:9" x14ac:dyDescent="0.2">
      <c r="A159" s="22" t="s">
        <v>36</v>
      </c>
      <c r="B159" s="136">
        <f>'DOE25'!F498</f>
        <v>668157</v>
      </c>
      <c r="C159" s="136">
        <f>'DOE25'!G498</f>
        <v>1576575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2244732</v>
      </c>
    </row>
    <row r="160" spans="1:9" x14ac:dyDescent="0.2">
      <c r="A160" s="22" t="s">
        <v>37</v>
      </c>
      <c r="B160" s="136">
        <f>'DOE25'!F499</f>
        <v>3968157</v>
      </c>
      <c r="C160" s="136">
        <f>'DOE25'!G499</f>
        <v>5476575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9444732</v>
      </c>
    </row>
    <row r="161" spans="1:7" x14ac:dyDescent="0.2">
      <c r="A161" s="22" t="s">
        <v>38</v>
      </c>
      <c r="B161" s="136">
        <f>'DOE25'!F500</f>
        <v>300000</v>
      </c>
      <c r="C161" s="136">
        <f>'DOE25'!G500</f>
        <v>260000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560000</v>
      </c>
    </row>
    <row r="162" spans="1:7" x14ac:dyDescent="0.2">
      <c r="A162" s="22" t="s">
        <v>39</v>
      </c>
      <c r="B162" s="136">
        <f>'DOE25'!F501</f>
        <v>127572</v>
      </c>
      <c r="C162" s="136">
        <f>'DOE25'!G501</f>
        <v>203203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330775</v>
      </c>
    </row>
    <row r="163" spans="1:7" x14ac:dyDescent="0.2">
      <c r="A163" s="22" t="s">
        <v>246</v>
      </c>
      <c r="B163" s="136">
        <f>'DOE25'!F502</f>
        <v>427572</v>
      </c>
      <c r="C163" s="136">
        <f>'DOE25'!G502</f>
        <v>463203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890775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5" t="s">
        <v>740</v>
      </c>
      <c r="B1" s="275"/>
      <c r="C1" s="275"/>
      <c r="D1" s="275"/>
    </row>
    <row r="2" spans="1:4" x14ac:dyDescent="0.2">
      <c r="A2" s="183" t="s">
        <v>717</v>
      </c>
      <c r="B2" s="182" t="str">
        <f>'DOE25'!A2</f>
        <v>Littleton School District - SAU 84</v>
      </c>
    </row>
    <row r="3" spans="1:4" x14ac:dyDescent="0.2">
      <c r="B3" s="184" t="s">
        <v>862</v>
      </c>
    </row>
    <row r="4" spans="1:4" x14ac:dyDescent="0.2">
      <c r="B4" t="s">
        <v>61</v>
      </c>
      <c r="C4" s="175">
        <f>IF('DOE25'!F664+'DOE25'!F669=0,0,ROUND('DOE25'!F671,0))</f>
        <v>15612</v>
      </c>
    </row>
    <row r="5" spans="1:4" x14ac:dyDescent="0.2">
      <c r="B5" t="s">
        <v>704</v>
      </c>
      <c r="C5" s="175">
        <f>IF('DOE25'!G664+'DOE25'!G669=0,0,ROUND('DOE25'!G671,0))</f>
        <v>14819</v>
      </c>
    </row>
    <row r="6" spans="1:4" x14ac:dyDescent="0.2">
      <c r="B6" t="s">
        <v>62</v>
      </c>
      <c r="C6" s="175">
        <f>IF('DOE25'!H664+'DOE25'!H669=0,0,ROUND('DOE25'!H671,0))</f>
        <v>19831</v>
      </c>
    </row>
    <row r="7" spans="1:4" x14ac:dyDescent="0.2">
      <c r="B7" t="s">
        <v>705</v>
      </c>
      <c r="C7" s="175">
        <f>IF('DOE25'!I664+'DOE25'!I669=0,0,ROUND('DOE25'!I671,0))</f>
        <v>16898</v>
      </c>
    </row>
    <row r="9" spans="1:4" x14ac:dyDescent="0.2">
      <c r="A9" s="183" t="s">
        <v>94</v>
      </c>
      <c r="B9" s="184" t="s">
        <v>861</v>
      </c>
      <c r="C9" s="177" t="s">
        <v>724</v>
      </c>
      <c r="D9" s="177" t="s">
        <v>725</v>
      </c>
    </row>
    <row r="10" spans="1:4" x14ac:dyDescent="0.2">
      <c r="A10">
        <v>1100</v>
      </c>
      <c r="B10" t="s">
        <v>706</v>
      </c>
      <c r="C10" s="175">
        <f>ROUND('DOE25'!L196+'DOE25'!L214+'DOE25'!L232+'DOE25'!L275+'DOE25'!L294+'DOE25'!L313,0)</f>
        <v>5723758</v>
      </c>
      <c r="D10" s="178">
        <f>ROUND((C10/$C$28)*100,1)</f>
        <v>38.9</v>
      </c>
    </row>
    <row r="11" spans="1:4" x14ac:dyDescent="0.2">
      <c r="A11">
        <v>1200</v>
      </c>
      <c r="B11" t="s">
        <v>707</v>
      </c>
      <c r="C11" s="175">
        <f>ROUND('DOE25'!L197+'DOE25'!L215+'DOE25'!L233+'DOE25'!L276+'DOE25'!L295+'DOE25'!L314,0)</f>
        <v>2327511</v>
      </c>
      <c r="D11" s="178">
        <f>ROUND((C11/$C$28)*100,1)</f>
        <v>15.8</v>
      </c>
    </row>
    <row r="12" spans="1:4" x14ac:dyDescent="0.2">
      <c r="A12">
        <v>1300</v>
      </c>
      <c r="B12" t="s">
        <v>708</v>
      </c>
      <c r="C12" s="175">
        <f>ROUND('DOE25'!L198+'DOE25'!L216+'DOE25'!L234+'DOE25'!L277+'DOE25'!L296+'DOE25'!L315,0)</f>
        <v>1064191</v>
      </c>
      <c r="D12" s="178">
        <f>ROUND((C12/$C$28)*100,1)</f>
        <v>7.2</v>
      </c>
    </row>
    <row r="13" spans="1:4" x14ac:dyDescent="0.2">
      <c r="A13">
        <v>1400</v>
      </c>
      <c r="B13" t="s">
        <v>709</v>
      </c>
      <c r="C13" s="175">
        <f>ROUND('DOE25'!L199+'DOE25'!L217+'DOE25'!L235+'DOE25'!L278+'DOE25'!L297+'DOE25'!L316,0)</f>
        <v>244740</v>
      </c>
      <c r="D13" s="178">
        <f>ROUND((C13/$C$28)*100,1)</f>
        <v>1.7</v>
      </c>
    </row>
    <row r="14" spans="1:4" x14ac:dyDescent="0.2">
      <c r="D14" s="178"/>
    </row>
    <row r="15" spans="1:4" x14ac:dyDescent="0.2">
      <c r="A15">
        <v>2100</v>
      </c>
      <c r="B15" t="s">
        <v>710</v>
      </c>
      <c r="C15" s="175">
        <f>ROUND('DOE25'!L201+'DOE25'!L219+'DOE25'!L237+'DOE25'!L280+'DOE25'!L299+'DOE25'!L318,0)</f>
        <v>1070449</v>
      </c>
      <c r="D15" s="178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5">
        <f>ROUND('DOE25'!L202+'DOE25'!L220+'DOE25'!L238+'DOE25'!L281+'DOE25'!L300+'DOE25'!L319,0)</f>
        <v>169485</v>
      </c>
      <c r="D16" s="178">
        <f t="shared" si="0"/>
        <v>1.2</v>
      </c>
    </row>
    <row r="17" spans="1:4" x14ac:dyDescent="0.2">
      <c r="A17" s="179" t="s">
        <v>727</v>
      </c>
      <c r="B17" t="s">
        <v>742</v>
      </c>
      <c r="C17" s="175">
        <f>ROUND('DOE25'!L203+'DOE25'!L208+'DOE25'!L221+'DOE25'!L226+'DOE25'!L239+'DOE25'!L244+'DOE25'!L282+'DOE25'!L287+'DOE25'!L301+'DOE25'!L306+'DOE25'!L320+'DOE25'!L325,0)</f>
        <v>833534</v>
      </c>
      <c r="D17" s="178">
        <f t="shared" si="0"/>
        <v>5.7</v>
      </c>
    </row>
    <row r="18" spans="1:4" x14ac:dyDescent="0.2">
      <c r="A18">
        <v>2400</v>
      </c>
      <c r="B18" t="s">
        <v>715</v>
      </c>
      <c r="C18" s="175">
        <f>ROUND('DOE25'!L204+'DOE25'!L222+'DOE25'!L240+'DOE25'!L283+'DOE25'!L302+'DOE25'!L321,0)</f>
        <v>807952</v>
      </c>
      <c r="D18" s="178">
        <f t="shared" si="0"/>
        <v>5.5</v>
      </c>
    </row>
    <row r="19" spans="1:4" x14ac:dyDescent="0.2">
      <c r="A19">
        <v>2500</v>
      </c>
      <c r="B19" t="s">
        <v>712</v>
      </c>
      <c r="C19" s="175">
        <f>ROUND('DOE25'!L205+'DOE25'!L223+'DOE25'!L241+'DOE25'!L284+'DOE25'!L303+'DOE25'!L322,0)</f>
        <v>185786</v>
      </c>
      <c r="D19" s="178">
        <f t="shared" si="0"/>
        <v>1.3</v>
      </c>
    </row>
    <row r="20" spans="1:4" x14ac:dyDescent="0.2">
      <c r="A20">
        <v>2600</v>
      </c>
      <c r="B20" t="s">
        <v>713</v>
      </c>
      <c r="C20" s="175">
        <f>ROUND('DOE25'!L206+'DOE25'!L224+'DOE25'!L242+'DOE25'!L285+'DOE25'!L304+'DOE25'!L323,0)</f>
        <v>1308409</v>
      </c>
      <c r="D20" s="178">
        <f t="shared" si="0"/>
        <v>8.9</v>
      </c>
    </row>
    <row r="21" spans="1:4" x14ac:dyDescent="0.2">
      <c r="A21">
        <v>2700</v>
      </c>
      <c r="B21" t="s">
        <v>714</v>
      </c>
      <c r="C21" s="175">
        <f>ROUND('DOE25'!L207+'DOE25'!L225+'DOE25'!L243+'DOE25'!L286+'DOE25'!L305+'DOE25'!L324,0)</f>
        <v>359280</v>
      </c>
      <c r="D21" s="178">
        <f t="shared" si="0"/>
        <v>2.4</v>
      </c>
    </row>
    <row r="22" spans="1:4" x14ac:dyDescent="0.2">
      <c r="A22">
        <v>2900</v>
      </c>
      <c r="B22" t="s">
        <v>716</v>
      </c>
      <c r="C22" s="175">
        <v>0</v>
      </c>
      <c r="D22" s="178">
        <f t="shared" si="0"/>
        <v>0</v>
      </c>
    </row>
    <row r="23" spans="1:4" x14ac:dyDescent="0.2">
      <c r="A23">
        <v>1500</v>
      </c>
      <c r="B23" t="s">
        <v>718</v>
      </c>
      <c r="C23" s="175">
        <f>ROUND('DOE25'!L249+'DOE25'!L331,0)</f>
        <v>0</v>
      </c>
      <c r="D23" s="178">
        <f t="shared" si="0"/>
        <v>0</v>
      </c>
    </row>
    <row r="24" spans="1:4" x14ac:dyDescent="0.2">
      <c r="A24" s="179" t="s">
        <v>726</v>
      </c>
      <c r="B24" t="s">
        <v>719</v>
      </c>
      <c r="C24" s="175">
        <f>ROUND('DOE25'!L250+'DOE25'!L251+'DOE25'!L252+'DOE25'!L253+'DOE25'!L332+'DOE25'!L333+'DOE25'!L334,0)</f>
        <v>0</v>
      </c>
      <c r="D24" s="178">
        <f t="shared" si="0"/>
        <v>0</v>
      </c>
    </row>
    <row r="25" spans="1:4" x14ac:dyDescent="0.2">
      <c r="A25">
        <v>5120</v>
      </c>
      <c r="B25" t="s">
        <v>720</v>
      </c>
      <c r="C25" s="175">
        <f>ROUND('DOE25'!L260+'DOE25'!L341,0)</f>
        <v>356192</v>
      </c>
      <c r="D25" s="178">
        <f t="shared" si="0"/>
        <v>2.4</v>
      </c>
    </row>
    <row r="26" spans="1:4" x14ac:dyDescent="0.2">
      <c r="A26" s="179" t="s">
        <v>721</v>
      </c>
      <c r="B26" t="s">
        <v>722</v>
      </c>
      <c r="C26" s="175">
        <f>'DOE25'!L267+'DOE25'!L268+'DOE25'!L348+'DOE25'!L349</f>
        <v>0</v>
      </c>
      <c r="D26" s="178">
        <f t="shared" si="0"/>
        <v>0</v>
      </c>
    </row>
    <row r="27" spans="1:4" x14ac:dyDescent="0.2">
      <c r="A27">
        <v>3100</v>
      </c>
      <c r="B27" t="s">
        <v>11</v>
      </c>
      <c r="C27" s="175">
        <f>ROUND('DOE25'!L361-'DOE25'!L360,0)-SUM('DOE25'!G96:G109)</f>
        <v>255799.79</v>
      </c>
      <c r="D27" s="178">
        <f t="shared" si="0"/>
        <v>1.7</v>
      </c>
    </row>
    <row r="28" spans="1:4" x14ac:dyDescent="0.2">
      <c r="B28" s="183" t="s">
        <v>723</v>
      </c>
      <c r="C28" s="176">
        <f>SUM(C10:C27)</f>
        <v>14707086.789999999</v>
      </c>
      <c r="D28" s="180">
        <f>ROUND(SUM(D10:D27),0)</f>
        <v>100</v>
      </c>
    </row>
    <row r="29" spans="1:4" x14ac:dyDescent="0.2">
      <c r="A29">
        <v>4000</v>
      </c>
      <c r="B29" t="s">
        <v>728</v>
      </c>
      <c r="C29" s="175">
        <f>ROUND('DOE25'!L254+'DOE25'!L335+'DOE25'!L373+'DOE25'!L374+'DOE25'!L375+'DOE25'!L376+'DOE25'!L377+'DOE25'!L378+'DOE25'!L379,0)</f>
        <v>2650907</v>
      </c>
    </row>
    <row r="30" spans="1:4" x14ac:dyDescent="0.2">
      <c r="B30" s="183" t="s">
        <v>729</v>
      </c>
      <c r="C30" s="176">
        <f>SUM(C28:C29)</f>
        <v>17357993.789999999</v>
      </c>
    </row>
    <row r="31" spans="1:4" x14ac:dyDescent="0.2">
      <c r="B31" s="33"/>
      <c r="C31" s="176"/>
    </row>
    <row r="32" spans="1:4" x14ac:dyDescent="0.2">
      <c r="A32">
        <v>5100</v>
      </c>
      <c r="B32" s="33" t="s">
        <v>730</v>
      </c>
      <c r="C32" s="176">
        <f>ROUND('DOE25'!L259+'DOE25'!L340,0)</f>
        <v>560640</v>
      </c>
    </row>
    <row r="34" spans="1:4" x14ac:dyDescent="0.2">
      <c r="A34" s="183" t="s">
        <v>94</v>
      </c>
      <c r="B34" s="184" t="s">
        <v>860</v>
      </c>
      <c r="C34" s="177" t="s">
        <v>724</v>
      </c>
      <c r="D34" s="177" t="s">
        <v>725</v>
      </c>
    </row>
    <row r="35" spans="1:4" x14ac:dyDescent="0.2">
      <c r="A35">
        <v>1100</v>
      </c>
      <c r="B35" s="181" t="s">
        <v>731</v>
      </c>
      <c r="C35" s="175">
        <f>ROUND('DOE25'!F59+'DOE25'!G59+'DOE25'!H59+'DOE25'!I59+'DOE25'!J59,0)</f>
        <v>7574836</v>
      </c>
      <c r="D35" s="178">
        <f t="shared" ref="D35:D40" si="1">ROUND((C35/$C$41)*100,1)</f>
        <v>43</v>
      </c>
    </row>
    <row r="36" spans="1:4" x14ac:dyDescent="0.2">
      <c r="B36" s="181" t="s">
        <v>743</v>
      </c>
      <c r="C36" s="175">
        <f>SUM('DOE25'!F111:J111)-SUM('DOE25'!G96:G109)+('DOE25'!F173+'DOE25'!F174+'DOE25'!I173+'DOE25'!I174)-C35</f>
        <v>255235.1099999994</v>
      </c>
      <c r="D36" s="178">
        <f t="shared" si="1"/>
        <v>1.4</v>
      </c>
    </row>
    <row r="37" spans="1:4" x14ac:dyDescent="0.2">
      <c r="A37" s="179" t="s">
        <v>853</v>
      </c>
      <c r="B37" s="181" t="s">
        <v>732</v>
      </c>
      <c r="C37" s="175">
        <f>ROUND('DOE25'!F116+'DOE25'!F117+'DOE25'!F118,0)</f>
        <v>5086869</v>
      </c>
      <c r="D37" s="178">
        <f t="shared" si="1"/>
        <v>28.9</v>
      </c>
    </row>
    <row r="38" spans="1:4" x14ac:dyDescent="0.2">
      <c r="A38" s="179" t="s">
        <v>738</v>
      </c>
      <c r="B38" s="181" t="s">
        <v>733</v>
      </c>
      <c r="C38" s="175">
        <f>ROUND(SUM('DOE25'!F139:J139)-SUM('DOE25'!F116:F118),0)</f>
        <v>2968450</v>
      </c>
      <c r="D38" s="178">
        <f t="shared" si="1"/>
        <v>16.899999999999999</v>
      </c>
    </row>
    <row r="39" spans="1:4" x14ac:dyDescent="0.2">
      <c r="A39">
        <v>4000</v>
      </c>
      <c r="B39" s="181" t="s">
        <v>734</v>
      </c>
      <c r="C39" s="175">
        <f>ROUND('DOE25'!F168+'DOE25'!G168+'DOE25'!H168+'DOE25'!I168,0)</f>
        <v>1726753</v>
      </c>
      <c r="D39" s="178">
        <f t="shared" si="1"/>
        <v>9.8000000000000007</v>
      </c>
    </row>
    <row r="40" spans="1:4" x14ac:dyDescent="0.2">
      <c r="A40" s="179" t="s">
        <v>739</v>
      </c>
      <c r="B40" s="181" t="s">
        <v>735</v>
      </c>
      <c r="C40" s="175">
        <f>ROUND(SUM('DOE25'!F188:F190)+SUM('DOE25'!G188:G190)+SUM('DOE25'!H188:H190)+SUM('DOE25'!I188:I190),0)</f>
        <v>0</v>
      </c>
      <c r="D40" s="178">
        <f t="shared" si="1"/>
        <v>0</v>
      </c>
    </row>
    <row r="41" spans="1:4" x14ac:dyDescent="0.2">
      <c r="B41" s="183" t="s">
        <v>736</v>
      </c>
      <c r="C41" s="176">
        <f>SUM(C35:C40)</f>
        <v>17612143.109999999</v>
      </c>
      <c r="D41" s="180">
        <f>SUM(D35:D40)</f>
        <v>99.999999999999986</v>
      </c>
    </row>
    <row r="42" spans="1:4" x14ac:dyDescent="0.2">
      <c r="A42" s="179" t="s">
        <v>741</v>
      </c>
      <c r="B42" s="181" t="s">
        <v>737</v>
      </c>
      <c r="C42" s="175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2" t="s">
        <v>770</v>
      </c>
      <c r="B1" s="283"/>
      <c r="C1" s="283"/>
      <c r="D1" s="283"/>
      <c r="E1" s="283"/>
      <c r="F1" s="283"/>
      <c r="G1" s="283"/>
      <c r="H1" s="283"/>
      <c r="I1" s="283"/>
      <c r="J1" s="210"/>
      <c r="K1" s="210"/>
      <c r="L1" s="210"/>
      <c r="M1" s="211"/>
    </row>
    <row r="2" spans="1:26" ht="12.75" x14ac:dyDescent="0.2">
      <c r="A2" s="288" t="s">
        <v>767</v>
      </c>
      <c r="B2" s="289"/>
      <c r="C2" s="289"/>
      <c r="D2" s="289"/>
      <c r="E2" s="289"/>
      <c r="F2" s="286" t="str">
        <f>'DOE25'!A2</f>
        <v>Littleton School District - SAU 84</v>
      </c>
      <c r="G2" s="287"/>
      <c r="H2" s="287"/>
      <c r="I2" s="287"/>
      <c r="J2" s="52"/>
      <c r="K2" s="52"/>
      <c r="L2" s="52"/>
      <c r="M2" s="212"/>
    </row>
    <row r="3" spans="1:26" x14ac:dyDescent="0.2">
      <c r="A3" s="213" t="s">
        <v>768</v>
      </c>
      <c r="B3" s="214" t="s">
        <v>769</v>
      </c>
      <c r="C3" s="284" t="s">
        <v>771</v>
      </c>
      <c r="D3" s="284"/>
      <c r="E3" s="284"/>
      <c r="F3" s="284"/>
      <c r="G3" s="284"/>
      <c r="H3" s="284"/>
      <c r="I3" s="284"/>
      <c r="J3" s="284"/>
      <c r="K3" s="284"/>
      <c r="L3" s="284"/>
      <c r="M3" s="285"/>
    </row>
    <row r="4" spans="1:26" x14ac:dyDescent="0.2">
      <c r="A4" s="215"/>
      <c r="B4" s="216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8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5"/>
      <c r="B5" s="216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8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5"/>
      <c r="B6" s="216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5"/>
      <c r="B7" s="216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8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5"/>
      <c r="B8" s="216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8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5"/>
      <c r="B9" s="21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8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5"/>
      <c r="B10" s="21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8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5"/>
      <c r="B11" s="21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8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5"/>
      <c r="B12" s="21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8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5"/>
      <c r="B13" s="21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8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5"/>
      <c r="B14" s="21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8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5"/>
      <c r="B15" s="21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8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5"/>
      <c r="B16" s="21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8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5"/>
      <c r="B17" s="21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8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5"/>
      <c r="B18" s="21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8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5"/>
      <c r="B19" s="21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8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5"/>
      <c r="B20" s="21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8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5"/>
      <c r="B21" s="21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8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5"/>
      <c r="B22" s="21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8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5"/>
      <c r="B23" s="21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8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5"/>
      <c r="B24" s="21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8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5"/>
      <c r="B25" s="21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8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5"/>
      <c r="B26" s="21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8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5"/>
      <c r="B27" s="21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8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5"/>
      <c r="B28" s="21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8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5"/>
      <c r="B29" s="21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8"/>
      <c r="N29" s="208"/>
      <c r="O29" s="208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04"/>
      <c r="AB29" s="204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04"/>
      <c r="AO29" s="204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04"/>
      <c r="BB29" s="204"/>
      <c r="BC29" s="276"/>
      <c r="BD29" s="276"/>
      <c r="BE29" s="276"/>
      <c r="BF29" s="276"/>
      <c r="BG29" s="276"/>
      <c r="BH29" s="276"/>
      <c r="BI29" s="276"/>
      <c r="BJ29" s="276"/>
      <c r="BK29" s="276"/>
      <c r="BL29" s="276"/>
      <c r="BM29" s="276"/>
      <c r="BN29" s="204"/>
      <c r="BO29" s="204"/>
      <c r="BP29" s="276"/>
      <c r="BQ29" s="276"/>
      <c r="BR29" s="276"/>
      <c r="BS29" s="276"/>
      <c r="BT29" s="276"/>
      <c r="BU29" s="276"/>
      <c r="BV29" s="276"/>
      <c r="BW29" s="276"/>
      <c r="BX29" s="276"/>
      <c r="BY29" s="276"/>
      <c r="BZ29" s="276"/>
      <c r="CA29" s="204"/>
      <c r="CB29" s="204"/>
      <c r="CC29" s="276"/>
      <c r="CD29" s="276"/>
      <c r="CE29" s="276"/>
      <c r="CF29" s="276"/>
      <c r="CG29" s="276"/>
      <c r="CH29" s="276"/>
      <c r="CI29" s="276"/>
      <c r="CJ29" s="276"/>
      <c r="CK29" s="276"/>
      <c r="CL29" s="276"/>
      <c r="CM29" s="276"/>
      <c r="CN29" s="204"/>
      <c r="CO29" s="204"/>
      <c r="CP29" s="276"/>
      <c r="CQ29" s="276"/>
      <c r="CR29" s="276"/>
      <c r="CS29" s="276"/>
      <c r="CT29" s="276"/>
      <c r="CU29" s="276"/>
      <c r="CV29" s="276"/>
      <c r="CW29" s="276"/>
      <c r="CX29" s="276"/>
      <c r="CY29" s="276"/>
      <c r="CZ29" s="276"/>
      <c r="DA29" s="204"/>
      <c r="DB29" s="204"/>
      <c r="DC29" s="276"/>
      <c r="DD29" s="276"/>
      <c r="DE29" s="276"/>
      <c r="DF29" s="276"/>
      <c r="DG29" s="276"/>
      <c r="DH29" s="276"/>
      <c r="DI29" s="276"/>
      <c r="DJ29" s="276"/>
      <c r="DK29" s="276"/>
      <c r="DL29" s="276"/>
      <c r="DM29" s="276"/>
      <c r="DN29" s="204"/>
      <c r="DO29" s="204"/>
      <c r="DP29" s="276"/>
      <c r="DQ29" s="276"/>
      <c r="DR29" s="276"/>
      <c r="DS29" s="276"/>
      <c r="DT29" s="276"/>
      <c r="DU29" s="276"/>
      <c r="DV29" s="276"/>
      <c r="DW29" s="276"/>
      <c r="DX29" s="276"/>
      <c r="DY29" s="276"/>
      <c r="DZ29" s="276"/>
      <c r="EA29" s="204"/>
      <c r="EB29" s="204"/>
      <c r="EC29" s="276"/>
      <c r="ED29" s="276"/>
      <c r="EE29" s="276"/>
      <c r="EF29" s="276"/>
      <c r="EG29" s="276"/>
      <c r="EH29" s="276"/>
      <c r="EI29" s="276"/>
      <c r="EJ29" s="276"/>
      <c r="EK29" s="276"/>
      <c r="EL29" s="276"/>
      <c r="EM29" s="276"/>
      <c r="EN29" s="204"/>
      <c r="EO29" s="204"/>
      <c r="EP29" s="276"/>
      <c r="EQ29" s="276"/>
      <c r="ER29" s="276"/>
      <c r="ES29" s="276"/>
      <c r="ET29" s="276"/>
      <c r="EU29" s="276"/>
      <c r="EV29" s="276"/>
      <c r="EW29" s="276"/>
      <c r="EX29" s="276"/>
      <c r="EY29" s="276"/>
      <c r="EZ29" s="276"/>
      <c r="FA29" s="204"/>
      <c r="FB29" s="204"/>
      <c r="FC29" s="276"/>
      <c r="FD29" s="276"/>
      <c r="FE29" s="276"/>
      <c r="FF29" s="276"/>
      <c r="FG29" s="276"/>
      <c r="FH29" s="276"/>
      <c r="FI29" s="276"/>
      <c r="FJ29" s="276"/>
      <c r="FK29" s="276"/>
      <c r="FL29" s="276"/>
      <c r="FM29" s="276"/>
      <c r="FN29" s="204"/>
      <c r="FO29" s="204"/>
      <c r="FP29" s="276"/>
      <c r="FQ29" s="276"/>
      <c r="FR29" s="276"/>
      <c r="FS29" s="276"/>
      <c r="FT29" s="276"/>
      <c r="FU29" s="276"/>
      <c r="FV29" s="276"/>
      <c r="FW29" s="276"/>
      <c r="FX29" s="276"/>
      <c r="FY29" s="276"/>
      <c r="FZ29" s="276"/>
      <c r="GA29" s="204"/>
      <c r="GB29" s="204"/>
      <c r="GC29" s="276"/>
      <c r="GD29" s="276"/>
      <c r="GE29" s="276"/>
      <c r="GF29" s="276"/>
      <c r="GG29" s="276"/>
      <c r="GH29" s="276"/>
      <c r="GI29" s="276"/>
      <c r="GJ29" s="276"/>
      <c r="GK29" s="276"/>
      <c r="GL29" s="276"/>
      <c r="GM29" s="276"/>
      <c r="GN29" s="204"/>
      <c r="GO29" s="204"/>
      <c r="GP29" s="276"/>
      <c r="GQ29" s="276"/>
      <c r="GR29" s="276"/>
      <c r="GS29" s="276"/>
      <c r="GT29" s="276"/>
      <c r="GU29" s="276"/>
      <c r="GV29" s="276"/>
      <c r="GW29" s="276"/>
      <c r="GX29" s="276"/>
      <c r="GY29" s="276"/>
      <c r="GZ29" s="276"/>
      <c r="HA29" s="204"/>
      <c r="HB29" s="204"/>
      <c r="HC29" s="276"/>
      <c r="HD29" s="276"/>
      <c r="HE29" s="276"/>
      <c r="HF29" s="276"/>
      <c r="HG29" s="276"/>
      <c r="HH29" s="276"/>
      <c r="HI29" s="276"/>
      <c r="HJ29" s="276"/>
      <c r="HK29" s="276"/>
      <c r="HL29" s="276"/>
      <c r="HM29" s="276"/>
      <c r="HN29" s="204"/>
      <c r="HO29" s="204"/>
      <c r="HP29" s="276"/>
      <c r="HQ29" s="276"/>
      <c r="HR29" s="276"/>
      <c r="HS29" s="276"/>
      <c r="HT29" s="276"/>
      <c r="HU29" s="276"/>
      <c r="HV29" s="276"/>
      <c r="HW29" s="276"/>
      <c r="HX29" s="276"/>
      <c r="HY29" s="276"/>
      <c r="HZ29" s="276"/>
      <c r="IA29" s="204"/>
      <c r="IB29" s="204"/>
      <c r="IC29" s="276"/>
      <c r="ID29" s="276"/>
      <c r="IE29" s="276"/>
      <c r="IF29" s="276"/>
      <c r="IG29" s="276"/>
      <c r="IH29" s="276"/>
      <c r="II29" s="276"/>
      <c r="IJ29" s="276"/>
      <c r="IK29" s="276"/>
      <c r="IL29" s="276"/>
      <c r="IM29" s="276"/>
      <c r="IN29" s="204"/>
      <c r="IO29" s="204"/>
      <c r="IP29" s="276"/>
      <c r="IQ29" s="276"/>
      <c r="IR29" s="276"/>
      <c r="IS29" s="276"/>
      <c r="IT29" s="276"/>
      <c r="IU29" s="276"/>
      <c r="IV29" s="276"/>
    </row>
    <row r="30" spans="1:256" x14ac:dyDescent="0.2">
      <c r="A30" s="215"/>
      <c r="B30" s="21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8"/>
      <c r="N30" s="208"/>
      <c r="O30" s="208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79"/>
      <c r="AA30" s="204"/>
      <c r="AB30" s="204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04"/>
      <c r="AO30" s="204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04"/>
      <c r="BB30" s="204"/>
      <c r="BC30" s="276"/>
      <c r="BD30" s="276"/>
      <c r="BE30" s="276"/>
      <c r="BF30" s="276"/>
      <c r="BG30" s="276"/>
      <c r="BH30" s="276"/>
      <c r="BI30" s="276"/>
      <c r="BJ30" s="276"/>
      <c r="BK30" s="276"/>
      <c r="BL30" s="276"/>
      <c r="BM30" s="276"/>
      <c r="BN30" s="204"/>
      <c r="BO30" s="204"/>
      <c r="BP30" s="276"/>
      <c r="BQ30" s="276"/>
      <c r="BR30" s="276"/>
      <c r="BS30" s="276"/>
      <c r="BT30" s="276"/>
      <c r="BU30" s="276"/>
      <c r="BV30" s="276"/>
      <c r="BW30" s="276"/>
      <c r="BX30" s="276"/>
      <c r="BY30" s="276"/>
      <c r="BZ30" s="276"/>
      <c r="CA30" s="204"/>
      <c r="CB30" s="204"/>
      <c r="CC30" s="276"/>
      <c r="CD30" s="276"/>
      <c r="CE30" s="276"/>
      <c r="CF30" s="276"/>
      <c r="CG30" s="276"/>
      <c r="CH30" s="276"/>
      <c r="CI30" s="276"/>
      <c r="CJ30" s="276"/>
      <c r="CK30" s="276"/>
      <c r="CL30" s="276"/>
      <c r="CM30" s="276"/>
      <c r="CN30" s="204"/>
      <c r="CO30" s="204"/>
      <c r="CP30" s="276"/>
      <c r="CQ30" s="276"/>
      <c r="CR30" s="276"/>
      <c r="CS30" s="276"/>
      <c r="CT30" s="276"/>
      <c r="CU30" s="276"/>
      <c r="CV30" s="276"/>
      <c r="CW30" s="276"/>
      <c r="CX30" s="276"/>
      <c r="CY30" s="276"/>
      <c r="CZ30" s="276"/>
      <c r="DA30" s="204"/>
      <c r="DB30" s="204"/>
      <c r="DC30" s="276"/>
      <c r="DD30" s="276"/>
      <c r="DE30" s="276"/>
      <c r="DF30" s="276"/>
      <c r="DG30" s="276"/>
      <c r="DH30" s="276"/>
      <c r="DI30" s="276"/>
      <c r="DJ30" s="276"/>
      <c r="DK30" s="276"/>
      <c r="DL30" s="276"/>
      <c r="DM30" s="276"/>
      <c r="DN30" s="204"/>
      <c r="DO30" s="204"/>
      <c r="DP30" s="276"/>
      <c r="DQ30" s="276"/>
      <c r="DR30" s="276"/>
      <c r="DS30" s="276"/>
      <c r="DT30" s="276"/>
      <c r="DU30" s="276"/>
      <c r="DV30" s="276"/>
      <c r="DW30" s="276"/>
      <c r="DX30" s="276"/>
      <c r="DY30" s="276"/>
      <c r="DZ30" s="276"/>
      <c r="EA30" s="204"/>
      <c r="EB30" s="204"/>
      <c r="EC30" s="276"/>
      <c r="ED30" s="276"/>
      <c r="EE30" s="276"/>
      <c r="EF30" s="276"/>
      <c r="EG30" s="276"/>
      <c r="EH30" s="276"/>
      <c r="EI30" s="276"/>
      <c r="EJ30" s="276"/>
      <c r="EK30" s="276"/>
      <c r="EL30" s="276"/>
      <c r="EM30" s="276"/>
      <c r="EN30" s="204"/>
      <c r="EO30" s="204"/>
      <c r="EP30" s="276"/>
      <c r="EQ30" s="276"/>
      <c r="ER30" s="276"/>
      <c r="ES30" s="276"/>
      <c r="ET30" s="276"/>
      <c r="EU30" s="276"/>
      <c r="EV30" s="276"/>
      <c r="EW30" s="276"/>
      <c r="EX30" s="276"/>
      <c r="EY30" s="276"/>
      <c r="EZ30" s="276"/>
      <c r="FA30" s="204"/>
      <c r="FB30" s="204"/>
      <c r="FC30" s="276"/>
      <c r="FD30" s="276"/>
      <c r="FE30" s="276"/>
      <c r="FF30" s="276"/>
      <c r="FG30" s="276"/>
      <c r="FH30" s="276"/>
      <c r="FI30" s="276"/>
      <c r="FJ30" s="276"/>
      <c r="FK30" s="276"/>
      <c r="FL30" s="276"/>
      <c r="FM30" s="276"/>
      <c r="FN30" s="204"/>
      <c r="FO30" s="204"/>
      <c r="FP30" s="276"/>
      <c r="FQ30" s="276"/>
      <c r="FR30" s="276"/>
      <c r="FS30" s="276"/>
      <c r="FT30" s="276"/>
      <c r="FU30" s="276"/>
      <c r="FV30" s="276"/>
      <c r="FW30" s="276"/>
      <c r="FX30" s="276"/>
      <c r="FY30" s="276"/>
      <c r="FZ30" s="276"/>
      <c r="GA30" s="204"/>
      <c r="GB30" s="204"/>
      <c r="GC30" s="276"/>
      <c r="GD30" s="276"/>
      <c r="GE30" s="276"/>
      <c r="GF30" s="276"/>
      <c r="GG30" s="276"/>
      <c r="GH30" s="276"/>
      <c r="GI30" s="276"/>
      <c r="GJ30" s="276"/>
      <c r="GK30" s="276"/>
      <c r="GL30" s="276"/>
      <c r="GM30" s="276"/>
      <c r="GN30" s="204"/>
      <c r="GO30" s="204"/>
      <c r="GP30" s="276"/>
      <c r="GQ30" s="276"/>
      <c r="GR30" s="276"/>
      <c r="GS30" s="276"/>
      <c r="GT30" s="276"/>
      <c r="GU30" s="276"/>
      <c r="GV30" s="276"/>
      <c r="GW30" s="276"/>
      <c r="GX30" s="276"/>
      <c r="GY30" s="276"/>
      <c r="GZ30" s="276"/>
      <c r="HA30" s="204"/>
      <c r="HB30" s="204"/>
      <c r="HC30" s="276"/>
      <c r="HD30" s="276"/>
      <c r="HE30" s="276"/>
      <c r="HF30" s="276"/>
      <c r="HG30" s="276"/>
      <c r="HH30" s="276"/>
      <c r="HI30" s="276"/>
      <c r="HJ30" s="276"/>
      <c r="HK30" s="276"/>
      <c r="HL30" s="276"/>
      <c r="HM30" s="276"/>
      <c r="HN30" s="204"/>
      <c r="HO30" s="204"/>
      <c r="HP30" s="276"/>
      <c r="HQ30" s="276"/>
      <c r="HR30" s="276"/>
      <c r="HS30" s="276"/>
      <c r="HT30" s="276"/>
      <c r="HU30" s="276"/>
      <c r="HV30" s="276"/>
      <c r="HW30" s="276"/>
      <c r="HX30" s="276"/>
      <c r="HY30" s="276"/>
      <c r="HZ30" s="276"/>
      <c r="IA30" s="204"/>
      <c r="IB30" s="204"/>
      <c r="IC30" s="276"/>
      <c r="ID30" s="276"/>
      <c r="IE30" s="276"/>
      <c r="IF30" s="276"/>
      <c r="IG30" s="276"/>
      <c r="IH30" s="276"/>
      <c r="II30" s="276"/>
      <c r="IJ30" s="276"/>
      <c r="IK30" s="276"/>
      <c r="IL30" s="276"/>
      <c r="IM30" s="276"/>
      <c r="IN30" s="204"/>
      <c r="IO30" s="204"/>
      <c r="IP30" s="276"/>
      <c r="IQ30" s="276"/>
      <c r="IR30" s="276"/>
      <c r="IS30" s="276"/>
      <c r="IT30" s="276"/>
      <c r="IU30" s="276"/>
      <c r="IV30" s="276"/>
    </row>
    <row r="31" spans="1:256" x14ac:dyDescent="0.2">
      <c r="A31" s="215"/>
      <c r="B31" s="21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8"/>
      <c r="N31" s="208"/>
      <c r="O31" s="208"/>
      <c r="P31" s="279"/>
      <c r="Q31" s="279"/>
      <c r="R31" s="279"/>
      <c r="S31" s="279"/>
      <c r="T31" s="279"/>
      <c r="U31" s="279"/>
      <c r="V31" s="279"/>
      <c r="W31" s="279"/>
      <c r="X31" s="279"/>
      <c r="Y31" s="279"/>
      <c r="Z31" s="279"/>
      <c r="AA31" s="204"/>
      <c r="AB31" s="204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04"/>
      <c r="AO31" s="204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04"/>
      <c r="BB31" s="204"/>
      <c r="BC31" s="276"/>
      <c r="BD31" s="276"/>
      <c r="BE31" s="276"/>
      <c r="BF31" s="276"/>
      <c r="BG31" s="276"/>
      <c r="BH31" s="276"/>
      <c r="BI31" s="276"/>
      <c r="BJ31" s="276"/>
      <c r="BK31" s="276"/>
      <c r="BL31" s="276"/>
      <c r="BM31" s="276"/>
      <c r="BN31" s="204"/>
      <c r="BO31" s="204"/>
      <c r="BP31" s="276"/>
      <c r="BQ31" s="276"/>
      <c r="BR31" s="276"/>
      <c r="BS31" s="276"/>
      <c r="BT31" s="276"/>
      <c r="BU31" s="276"/>
      <c r="BV31" s="276"/>
      <c r="BW31" s="276"/>
      <c r="BX31" s="276"/>
      <c r="BY31" s="276"/>
      <c r="BZ31" s="276"/>
      <c r="CA31" s="204"/>
      <c r="CB31" s="204"/>
      <c r="CC31" s="276"/>
      <c r="CD31" s="276"/>
      <c r="CE31" s="276"/>
      <c r="CF31" s="276"/>
      <c r="CG31" s="276"/>
      <c r="CH31" s="276"/>
      <c r="CI31" s="276"/>
      <c r="CJ31" s="276"/>
      <c r="CK31" s="276"/>
      <c r="CL31" s="276"/>
      <c r="CM31" s="276"/>
      <c r="CN31" s="204"/>
      <c r="CO31" s="204"/>
      <c r="CP31" s="276"/>
      <c r="CQ31" s="276"/>
      <c r="CR31" s="276"/>
      <c r="CS31" s="276"/>
      <c r="CT31" s="276"/>
      <c r="CU31" s="276"/>
      <c r="CV31" s="276"/>
      <c r="CW31" s="276"/>
      <c r="CX31" s="276"/>
      <c r="CY31" s="276"/>
      <c r="CZ31" s="276"/>
      <c r="DA31" s="204"/>
      <c r="DB31" s="204"/>
      <c r="DC31" s="276"/>
      <c r="DD31" s="276"/>
      <c r="DE31" s="276"/>
      <c r="DF31" s="276"/>
      <c r="DG31" s="276"/>
      <c r="DH31" s="276"/>
      <c r="DI31" s="276"/>
      <c r="DJ31" s="276"/>
      <c r="DK31" s="276"/>
      <c r="DL31" s="276"/>
      <c r="DM31" s="276"/>
      <c r="DN31" s="204"/>
      <c r="DO31" s="204"/>
      <c r="DP31" s="276"/>
      <c r="DQ31" s="276"/>
      <c r="DR31" s="276"/>
      <c r="DS31" s="276"/>
      <c r="DT31" s="276"/>
      <c r="DU31" s="276"/>
      <c r="DV31" s="276"/>
      <c r="DW31" s="276"/>
      <c r="DX31" s="276"/>
      <c r="DY31" s="276"/>
      <c r="DZ31" s="276"/>
      <c r="EA31" s="204"/>
      <c r="EB31" s="204"/>
      <c r="EC31" s="276"/>
      <c r="ED31" s="276"/>
      <c r="EE31" s="276"/>
      <c r="EF31" s="276"/>
      <c r="EG31" s="276"/>
      <c r="EH31" s="276"/>
      <c r="EI31" s="276"/>
      <c r="EJ31" s="276"/>
      <c r="EK31" s="276"/>
      <c r="EL31" s="276"/>
      <c r="EM31" s="276"/>
      <c r="EN31" s="204"/>
      <c r="EO31" s="204"/>
      <c r="EP31" s="276"/>
      <c r="EQ31" s="276"/>
      <c r="ER31" s="276"/>
      <c r="ES31" s="276"/>
      <c r="ET31" s="276"/>
      <c r="EU31" s="276"/>
      <c r="EV31" s="276"/>
      <c r="EW31" s="276"/>
      <c r="EX31" s="276"/>
      <c r="EY31" s="276"/>
      <c r="EZ31" s="276"/>
      <c r="FA31" s="204"/>
      <c r="FB31" s="204"/>
      <c r="FC31" s="276"/>
      <c r="FD31" s="276"/>
      <c r="FE31" s="276"/>
      <c r="FF31" s="276"/>
      <c r="FG31" s="276"/>
      <c r="FH31" s="276"/>
      <c r="FI31" s="276"/>
      <c r="FJ31" s="276"/>
      <c r="FK31" s="276"/>
      <c r="FL31" s="276"/>
      <c r="FM31" s="276"/>
      <c r="FN31" s="204"/>
      <c r="FO31" s="204"/>
      <c r="FP31" s="276"/>
      <c r="FQ31" s="276"/>
      <c r="FR31" s="276"/>
      <c r="FS31" s="276"/>
      <c r="FT31" s="276"/>
      <c r="FU31" s="276"/>
      <c r="FV31" s="276"/>
      <c r="FW31" s="276"/>
      <c r="FX31" s="276"/>
      <c r="FY31" s="276"/>
      <c r="FZ31" s="276"/>
      <c r="GA31" s="204"/>
      <c r="GB31" s="204"/>
      <c r="GC31" s="276"/>
      <c r="GD31" s="276"/>
      <c r="GE31" s="276"/>
      <c r="GF31" s="276"/>
      <c r="GG31" s="276"/>
      <c r="GH31" s="276"/>
      <c r="GI31" s="276"/>
      <c r="GJ31" s="276"/>
      <c r="GK31" s="276"/>
      <c r="GL31" s="276"/>
      <c r="GM31" s="276"/>
      <c r="GN31" s="204"/>
      <c r="GO31" s="204"/>
      <c r="GP31" s="276"/>
      <c r="GQ31" s="276"/>
      <c r="GR31" s="276"/>
      <c r="GS31" s="276"/>
      <c r="GT31" s="276"/>
      <c r="GU31" s="276"/>
      <c r="GV31" s="276"/>
      <c r="GW31" s="276"/>
      <c r="GX31" s="276"/>
      <c r="GY31" s="276"/>
      <c r="GZ31" s="276"/>
      <c r="HA31" s="204"/>
      <c r="HB31" s="204"/>
      <c r="HC31" s="276"/>
      <c r="HD31" s="276"/>
      <c r="HE31" s="276"/>
      <c r="HF31" s="276"/>
      <c r="HG31" s="276"/>
      <c r="HH31" s="276"/>
      <c r="HI31" s="276"/>
      <c r="HJ31" s="276"/>
      <c r="HK31" s="276"/>
      <c r="HL31" s="276"/>
      <c r="HM31" s="276"/>
      <c r="HN31" s="204"/>
      <c r="HO31" s="204"/>
      <c r="HP31" s="276"/>
      <c r="HQ31" s="276"/>
      <c r="HR31" s="276"/>
      <c r="HS31" s="276"/>
      <c r="HT31" s="276"/>
      <c r="HU31" s="276"/>
      <c r="HV31" s="276"/>
      <c r="HW31" s="276"/>
      <c r="HX31" s="276"/>
      <c r="HY31" s="276"/>
      <c r="HZ31" s="276"/>
      <c r="IA31" s="204"/>
      <c r="IB31" s="204"/>
      <c r="IC31" s="276"/>
      <c r="ID31" s="276"/>
      <c r="IE31" s="276"/>
      <c r="IF31" s="276"/>
      <c r="IG31" s="276"/>
      <c r="IH31" s="276"/>
      <c r="II31" s="276"/>
      <c r="IJ31" s="276"/>
      <c r="IK31" s="276"/>
      <c r="IL31" s="276"/>
      <c r="IM31" s="276"/>
      <c r="IN31" s="204"/>
      <c r="IO31" s="204"/>
      <c r="IP31" s="276"/>
      <c r="IQ31" s="276"/>
      <c r="IR31" s="276"/>
      <c r="IS31" s="276"/>
      <c r="IT31" s="276"/>
      <c r="IU31" s="276"/>
      <c r="IV31" s="276"/>
    </row>
    <row r="32" spans="1:256" x14ac:dyDescent="0.2">
      <c r="A32" s="215"/>
      <c r="B32" s="21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8"/>
      <c r="N32" s="220"/>
      <c r="O32" s="22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1"/>
      <c r="AA32" s="215"/>
      <c r="AB32" s="216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78"/>
      <c r="AN32" s="215"/>
      <c r="AO32" s="216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278"/>
      <c r="BA32" s="215"/>
      <c r="BB32" s="216"/>
      <c r="BC32" s="277"/>
      <c r="BD32" s="277"/>
      <c r="BE32" s="277"/>
      <c r="BF32" s="277"/>
      <c r="BG32" s="277"/>
      <c r="BH32" s="277"/>
      <c r="BI32" s="277"/>
      <c r="BJ32" s="277"/>
      <c r="BK32" s="277"/>
      <c r="BL32" s="277"/>
      <c r="BM32" s="278"/>
      <c r="BN32" s="215"/>
      <c r="BO32" s="216"/>
      <c r="BP32" s="277"/>
      <c r="BQ32" s="277"/>
      <c r="BR32" s="277"/>
      <c r="BS32" s="277"/>
      <c r="BT32" s="277"/>
      <c r="BU32" s="277"/>
      <c r="BV32" s="277"/>
      <c r="BW32" s="277"/>
      <c r="BX32" s="277"/>
      <c r="BY32" s="277"/>
      <c r="BZ32" s="278"/>
      <c r="CA32" s="215"/>
      <c r="CB32" s="216"/>
      <c r="CC32" s="277"/>
      <c r="CD32" s="277"/>
      <c r="CE32" s="277"/>
      <c r="CF32" s="277"/>
      <c r="CG32" s="277"/>
      <c r="CH32" s="277"/>
      <c r="CI32" s="277"/>
      <c r="CJ32" s="277"/>
      <c r="CK32" s="277"/>
      <c r="CL32" s="277"/>
      <c r="CM32" s="278"/>
      <c r="CN32" s="215"/>
      <c r="CO32" s="216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8"/>
      <c r="DA32" s="215"/>
      <c r="DB32" s="216"/>
      <c r="DC32" s="277"/>
      <c r="DD32" s="277"/>
      <c r="DE32" s="277"/>
      <c r="DF32" s="277"/>
      <c r="DG32" s="277"/>
      <c r="DH32" s="277"/>
      <c r="DI32" s="277"/>
      <c r="DJ32" s="277"/>
      <c r="DK32" s="277"/>
      <c r="DL32" s="277"/>
      <c r="DM32" s="278"/>
      <c r="DN32" s="215"/>
      <c r="DO32" s="216"/>
      <c r="DP32" s="277"/>
      <c r="DQ32" s="277"/>
      <c r="DR32" s="277"/>
      <c r="DS32" s="277"/>
      <c r="DT32" s="277"/>
      <c r="DU32" s="277"/>
      <c r="DV32" s="277"/>
      <c r="DW32" s="277"/>
      <c r="DX32" s="277"/>
      <c r="DY32" s="277"/>
      <c r="DZ32" s="278"/>
      <c r="EA32" s="215"/>
      <c r="EB32" s="216"/>
      <c r="EC32" s="277"/>
      <c r="ED32" s="277"/>
      <c r="EE32" s="277"/>
      <c r="EF32" s="277"/>
      <c r="EG32" s="277"/>
      <c r="EH32" s="277"/>
      <c r="EI32" s="277"/>
      <c r="EJ32" s="277"/>
      <c r="EK32" s="277"/>
      <c r="EL32" s="277"/>
      <c r="EM32" s="278"/>
      <c r="EN32" s="215"/>
      <c r="EO32" s="216"/>
      <c r="EP32" s="277"/>
      <c r="EQ32" s="277"/>
      <c r="ER32" s="277"/>
      <c r="ES32" s="277"/>
      <c r="ET32" s="277"/>
      <c r="EU32" s="277"/>
      <c r="EV32" s="277"/>
      <c r="EW32" s="277"/>
      <c r="EX32" s="277"/>
      <c r="EY32" s="277"/>
      <c r="EZ32" s="278"/>
      <c r="FA32" s="215"/>
      <c r="FB32" s="216"/>
      <c r="FC32" s="277"/>
      <c r="FD32" s="277"/>
      <c r="FE32" s="277"/>
      <c r="FF32" s="277"/>
      <c r="FG32" s="277"/>
      <c r="FH32" s="277"/>
      <c r="FI32" s="277"/>
      <c r="FJ32" s="277"/>
      <c r="FK32" s="277"/>
      <c r="FL32" s="277"/>
      <c r="FM32" s="278"/>
      <c r="FN32" s="215"/>
      <c r="FO32" s="216"/>
      <c r="FP32" s="277"/>
      <c r="FQ32" s="277"/>
      <c r="FR32" s="277"/>
      <c r="FS32" s="277"/>
      <c r="FT32" s="277"/>
      <c r="FU32" s="277"/>
      <c r="FV32" s="277"/>
      <c r="FW32" s="277"/>
      <c r="FX32" s="277"/>
      <c r="FY32" s="277"/>
      <c r="FZ32" s="278"/>
      <c r="GA32" s="215"/>
      <c r="GB32" s="216"/>
      <c r="GC32" s="277"/>
      <c r="GD32" s="277"/>
      <c r="GE32" s="277"/>
      <c r="GF32" s="277"/>
      <c r="GG32" s="277"/>
      <c r="GH32" s="277"/>
      <c r="GI32" s="277"/>
      <c r="GJ32" s="277"/>
      <c r="GK32" s="277"/>
      <c r="GL32" s="277"/>
      <c r="GM32" s="278"/>
      <c r="GN32" s="215"/>
      <c r="GO32" s="216"/>
      <c r="GP32" s="277"/>
      <c r="GQ32" s="277"/>
      <c r="GR32" s="277"/>
      <c r="GS32" s="277"/>
      <c r="GT32" s="277"/>
      <c r="GU32" s="277"/>
      <c r="GV32" s="277"/>
      <c r="GW32" s="277"/>
      <c r="GX32" s="277"/>
      <c r="GY32" s="277"/>
      <c r="GZ32" s="278"/>
      <c r="HA32" s="215"/>
      <c r="HB32" s="216"/>
      <c r="HC32" s="277"/>
      <c r="HD32" s="277"/>
      <c r="HE32" s="277"/>
      <c r="HF32" s="277"/>
      <c r="HG32" s="277"/>
      <c r="HH32" s="277"/>
      <c r="HI32" s="277"/>
      <c r="HJ32" s="277"/>
      <c r="HK32" s="277"/>
      <c r="HL32" s="277"/>
      <c r="HM32" s="278"/>
      <c r="HN32" s="215"/>
      <c r="HO32" s="216"/>
      <c r="HP32" s="277"/>
      <c r="HQ32" s="277"/>
      <c r="HR32" s="277"/>
      <c r="HS32" s="277"/>
      <c r="HT32" s="277"/>
      <c r="HU32" s="277"/>
      <c r="HV32" s="277"/>
      <c r="HW32" s="277"/>
      <c r="HX32" s="277"/>
      <c r="HY32" s="277"/>
      <c r="HZ32" s="278"/>
      <c r="IA32" s="215"/>
      <c r="IB32" s="216"/>
      <c r="IC32" s="277"/>
      <c r="ID32" s="277"/>
      <c r="IE32" s="277"/>
      <c r="IF32" s="277"/>
      <c r="IG32" s="277"/>
      <c r="IH32" s="277"/>
      <c r="II32" s="277"/>
      <c r="IJ32" s="277"/>
      <c r="IK32" s="277"/>
      <c r="IL32" s="277"/>
      <c r="IM32" s="278"/>
      <c r="IN32" s="215"/>
      <c r="IO32" s="216"/>
      <c r="IP32" s="277"/>
      <c r="IQ32" s="277"/>
      <c r="IR32" s="277"/>
      <c r="IS32" s="277"/>
      <c r="IT32" s="277"/>
      <c r="IU32" s="277"/>
      <c r="IV32" s="277"/>
    </row>
    <row r="33" spans="1:256" x14ac:dyDescent="0.2">
      <c r="A33" s="215"/>
      <c r="B33" s="21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8"/>
      <c r="N33" s="208"/>
      <c r="O33" s="208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04"/>
      <c r="AB33" s="204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4"/>
      <c r="AO33" s="204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4"/>
      <c r="BB33" s="204"/>
      <c r="BC33" s="209"/>
      <c r="BD33" s="209"/>
      <c r="BE33" s="209"/>
      <c r="BF33" s="209"/>
      <c r="BG33" s="209"/>
      <c r="BH33" s="209"/>
      <c r="BI33" s="209"/>
      <c r="BJ33" s="209"/>
      <c r="BK33" s="209"/>
      <c r="BL33" s="209"/>
      <c r="BM33" s="209"/>
      <c r="BN33" s="204"/>
      <c r="BO33" s="204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4"/>
      <c r="CB33" s="204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204"/>
      <c r="CO33" s="204"/>
      <c r="CP33" s="209"/>
      <c r="CQ33" s="209"/>
      <c r="CR33" s="209"/>
      <c r="CS33" s="209"/>
      <c r="CT33" s="209"/>
      <c r="CU33" s="209"/>
      <c r="CV33" s="209"/>
      <c r="CW33" s="209"/>
      <c r="CX33" s="209"/>
      <c r="CY33" s="209"/>
      <c r="CZ33" s="209"/>
      <c r="DA33" s="204"/>
      <c r="DB33" s="204"/>
      <c r="DC33" s="209"/>
      <c r="DD33" s="209"/>
      <c r="DE33" s="209"/>
      <c r="DF33" s="209"/>
      <c r="DG33" s="209"/>
      <c r="DH33" s="209"/>
      <c r="DI33" s="209"/>
      <c r="DJ33" s="209"/>
      <c r="DK33" s="209"/>
      <c r="DL33" s="209"/>
      <c r="DM33" s="209"/>
      <c r="DN33" s="204"/>
      <c r="DO33" s="204"/>
      <c r="DP33" s="209"/>
      <c r="DQ33" s="209"/>
      <c r="DR33" s="209"/>
      <c r="DS33" s="209"/>
      <c r="DT33" s="209"/>
      <c r="DU33" s="209"/>
      <c r="DV33" s="209"/>
      <c r="DW33" s="209"/>
      <c r="DX33" s="209"/>
      <c r="DY33" s="209"/>
      <c r="DZ33" s="209"/>
      <c r="EA33" s="204"/>
      <c r="EB33" s="204"/>
      <c r="EC33" s="209"/>
      <c r="ED33" s="209"/>
      <c r="EE33" s="209"/>
      <c r="EF33" s="209"/>
      <c r="EG33" s="209"/>
      <c r="EH33" s="209"/>
      <c r="EI33" s="209"/>
      <c r="EJ33" s="209"/>
      <c r="EK33" s="209"/>
      <c r="EL33" s="209"/>
      <c r="EM33" s="209"/>
      <c r="EN33" s="204"/>
      <c r="EO33" s="204"/>
      <c r="EP33" s="209"/>
      <c r="EQ33" s="209"/>
      <c r="ER33" s="209"/>
      <c r="ES33" s="209"/>
      <c r="ET33" s="209"/>
      <c r="EU33" s="209"/>
      <c r="EV33" s="209"/>
      <c r="EW33" s="209"/>
      <c r="EX33" s="209"/>
      <c r="EY33" s="209"/>
      <c r="EZ33" s="209"/>
      <c r="FA33" s="204"/>
      <c r="FB33" s="204"/>
      <c r="FC33" s="209"/>
      <c r="FD33" s="209"/>
      <c r="FE33" s="209"/>
      <c r="FF33" s="209"/>
      <c r="FG33" s="209"/>
      <c r="FH33" s="209"/>
      <c r="FI33" s="209"/>
      <c r="FJ33" s="209"/>
      <c r="FK33" s="209"/>
      <c r="FL33" s="209"/>
      <c r="FM33" s="209"/>
      <c r="FN33" s="204"/>
      <c r="FO33" s="204"/>
      <c r="FP33" s="209"/>
      <c r="FQ33" s="209"/>
      <c r="FR33" s="209"/>
      <c r="FS33" s="209"/>
      <c r="FT33" s="209"/>
      <c r="FU33" s="209"/>
      <c r="FV33" s="209"/>
      <c r="FW33" s="209"/>
      <c r="FX33" s="209"/>
      <c r="FY33" s="209"/>
      <c r="FZ33" s="209"/>
      <c r="GA33" s="204"/>
      <c r="GB33" s="204"/>
      <c r="GC33" s="209"/>
      <c r="GD33" s="209"/>
      <c r="GE33" s="209"/>
      <c r="GF33" s="209"/>
      <c r="GG33" s="209"/>
      <c r="GH33" s="209"/>
      <c r="GI33" s="209"/>
      <c r="GJ33" s="209"/>
      <c r="GK33" s="209"/>
      <c r="GL33" s="209"/>
      <c r="GM33" s="209"/>
      <c r="GN33" s="204"/>
      <c r="GO33" s="204"/>
      <c r="GP33" s="209"/>
      <c r="GQ33" s="209"/>
      <c r="GR33" s="209"/>
      <c r="GS33" s="209"/>
      <c r="GT33" s="209"/>
      <c r="GU33" s="209"/>
      <c r="GV33" s="209"/>
      <c r="GW33" s="209"/>
      <c r="GX33" s="209"/>
      <c r="GY33" s="209"/>
      <c r="GZ33" s="209"/>
      <c r="HA33" s="204"/>
      <c r="HB33" s="204"/>
      <c r="HC33" s="209"/>
      <c r="HD33" s="209"/>
      <c r="HE33" s="209"/>
      <c r="HF33" s="209"/>
      <c r="HG33" s="209"/>
      <c r="HH33" s="209"/>
      <c r="HI33" s="209"/>
      <c r="HJ33" s="209"/>
      <c r="HK33" s="209"/>
      <c r="HL33" s="209"/>
      <c r="HM33" s="209"/>
      <c r="HN33" s="204"/>
      <c r="HO33" s="204"/>
      <c r="HP33" s="209"/>
      <c r="HQ33" s="209"/>
      <c r="HR33" s="209"/>
      <c r="HS33" s="209"/>
      <c r="HT33" s="209"/>
      <c r="HU33" s="209"/>
      <c r="HV33" s="209"/>
      <c r="HW33" s="209"/>
      <c r="HX33" s="209"/>
      <c r="HY33" s="209"/>
      <c r="HZ33" s="209"/>
      <c r="IA33" s="204"/>
      <c r="IB33" s="204"/>
      <c r="IC33" s="209"/>
      <c r="ID33" s="209"/>
      <c r="IE33" s="209"/>
      <c r="IF33" s="209"/>
      <c r="IG33" s="209"/>
      <c r="IH33" s="209"/>
      <c r="II33" s="209"/>
      <c r="IJ33" s="209"/>
      <c r="IK33" s="209"/>
      <c r="IL33" s="209"/>
      <c r="IM33" s="209"/>
      <c r="IN33" s="204"/>
      <c r="IO33" s="204"/>
      <c r="IP33" s="209"/>
      <c r="IQ33" s="209"/>
      <c r="IR33" s="209"/>
      <c r="IS33" s="209"/>
      <c r="IT33" s="209"/>
      <c r="IU33" s="209"/>
      <c r="IV33" s="209"/>
    </row>
    <row r="34" spans="1:256" x14ac:dyDescent="0.2">
      <c r="A34" s="215"/>
      <c r="B34" s="21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8"/>
      <c r="N34" s="208"/>
      <c r="O34" s="208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04"/>
      <c r="AB34" s="204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4"/>
      <c r="AO34" s="204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4"/>
      <c r="BB34" s="204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204"/>
      <c r="BO34" s="204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4"/>
      <c r="CB34" s="204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204"/>
      <c r="CO34" s="204"/>
      <c r="CP34" s="209"/>
      <c r="CQ34" s="209"/>
      <c r="CR34" s="209"/>
      <c r="CS34" s="209"/>
      <c r="CT34" s="209"/>
      <c r="CU34" s="209"/>
      <c r="CV34" s="209"/>
      <c r="CW34" s="209"/>
      <c r="CX34" s="209"/>
      <c r="CY34" s="209"/>
      <c r="CZ34" s="209"/>
      <c r="DA34" s="204"/>
      <c r="DB34" s="204"/>
      <c r="DC34" s="209"/>
      <c r="DD34" s="209"/>
      <c r="DE34" s="209"/>
      <c r="DF34" s="209"/>
      <c r="DG34" s="209"/>
      <c r="DH34" s="209"/>
      <c r="DI34" s="209"/>
      <c r="DJ34" s="209"/>
      <c r="DK34" s="209"/>
      <c r="DL34" s="209"/>
      <c r="DM34" s="209"/>
      <c r="DN34" s="204"/>
      <c r="DO34" s="204"/>
      <c r="DP34" s="209"/>
      <c r="DQ34" s="209"/>
      <c r="DR34" s="209"/>
      <c r="DS34" s="209"/>
      <c r="DT34" s="209"/>
      <c r="DU34" s="209"/>
      <c r="DV34" s="209"/>
      <c r="DW34" s="209"/>
      <c r="DX34" s="209"/>
      <c r="DY34" s="209"/>
      <c r="DZ34" s="209"/>
      <c r="EA34" s="204"/>
      <c r="EB34" s="204"/>
      <c r="EC34" s="209"/>
      <c r="ED34" s="209"/>
      <c r="EE34" s="209"/>
      <c r="EF34" s="209"/>
      <c r="EG34" s="209"/>
      <c r="EH34" s="209"/>
      <c r="EI34" s="209"/>
      <c r="EJ34" s="209"/>
      <c r="EK34" s="209"/>
      <c r="EL34" s="209"/>
      <c r="EM34" s="209"/>
      <c r="EN34" s="204"/>
      <c r="EO34" s="204"/>
      <c r="EP34" s="209"/>
      <c r="EQ34" s="209"/>
      <c r="ER34" s="209"/>
      <c r="ES34" s="209"/>
      <c r="ET34" s="209"/>
      <c r="EU34" s="209"/>
      <c r="EV34" s="209"/>
      <c r="EW34" s="209"/>
      <c r="EX34" s="209"/>
      <c r="EY34" s="209"/>
      <c r="EZ34" s="209"/>
      <c r="FA34" s="204"/>
      <c r="FB34" s="204"/>
      <c r="FC34" s="209"/>
      <c r="FD34" s="209"/>
      <c r="FE34" s="209"/>
      <c r="FF34" s="209"/>
      <c r="FG34" s="209"/>
      <c r="FH34" s="209"/>
      <c r="FI34" s="209"/>
      <c r="FJ34" s="209"/>
      <c r="FK34" s="209"/>
      <c r="FL34" s="209"/>
      <c r="FM34" s="209"/>
      <c r="FN34" s="204"/>
      <c r="FO34" s="204"/>
      <c r="FP34" s="209"/>
      <c r="FQ34" s="209"/>
      <c r="FR34" s="209"/>
      <c r="FS34" s="209"/>
      <c r="FT34" s="209"/>
      <c r="FU34" s="209"/>
      <c r="FV34" s="209"/>
      <c r="FW34" s="209"/>
      <c r="FX34" s="209"/>
      <c r="FY34" s="209"/>
      <c r="FZ34" s="209"/>
      <c r="GA34" s="204"/>
      <c r="GB34" s="204"/>
      <c r="GC34" s="209"/>
      <c r="GD34" s="209"/>
      <c r="GE34" s="209"/>
      <c r="GF34" s="209"/>
      <c r="GG34" s="209"/>
      <c r="GH34" s="209"/>
      <c r="GI34" s="209"/>
      <c r="GJ34" s="209"/>
      <c r="GK34" s="209"/>
      <c r="GL34" s="209"/>
      <c r="GM34" s="209"/>
      <c r="GN34" s="204"/>
      <c r="GO34" s="204"/>
      <c r="GP34" s="209"/>
      <c r="GQ34" s="209"/>
      <c r="GR34" s="209"/>
      <c r="GS34" s="209"/>
      <c r="GT34" s="209"/>
      <c r="GU34" s="209"/>
      <c r="GV34" s="209"/>
      <c r="GW34" s="209"/>
      <c r="GX34" s="209"/>
      <c r="GY34" s="209"/>
      <c r="GZ34" s="209"/>
      <c r="HA34" s="204"/>
      <c r="HB34" s="204"/>
      <c r="HC34" s="209"/>
      <c r="HD34" s="209"/>
      <c r="HE34" s="209"/>
      <c r="HF34" s="209"/>
      <c r="HG34" s="209"/>
      <c r="HH34" s="209"/>
      <c r="HI34" s="209"/>
      <c r="HJ34" s="209"/>
      <c r="HK34" s="209"/>
      <c r="HL34" s="209"/>
      <c r="HM34" s="209"/>
      <c r="HN34" s="204"/>
      <c r="HO34" s="204"/>
      <c r="HP34" s="209"/>
      <c r="HQ34" s="209"/>
      <c r="HR34" s="209"/>
      <c r="HS34" s="209"/>
      <c r="HT34" s="209"/>
      <c r="HU34" s="209"/>
      <c r="HV34" s="209"/>
      <c r="HW34" s="209"/>
      <c r="HX34" s="209"/>
      <c r="HY34" s="209"/>
      <c r="HZ34" s="209"/>
      <c r="IA34" s="204"/>
      <c r="IB34" s="204"/>
      <c r="IC34" s="209"/>
      <c r="ID34" s="209"/>
      <c r="IE34" s="209"/>
      <c r="IF34" s="209"/>
      <c r="IG34" s="209"/>
      <c r="IH34" s="209"/>
      <c r="II34" s="209"/>
      <c r="IJ34" s="209"/>
      <c r="IK34" s="209"/>
      <c r="IL34" s="209"/>
      <c r="IM34" s="209"/>
      <c r="IN34" s="204"/>
      <c r="IO34" s="204"/>
      <c r="IP34" s="209"/>
      <c r="IQ34" s="209"/>
      <c r="IR34" s="209"/>
      <c r="IS34" s="209"/>
      <c r="IT34" s="209"/>
      <c r="IU34" s="209"/>
      <c r="IV34" s="209"/>
    </row>
    <row r="35" spans="1:256" x14ac:dyDescent="0.2">
      <c r="A35" s="215"/>
      <c r="B35" s="21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8"/>
      <c r="N35" s="208"/>
      <c r="O35" s="208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04"/>
      <c r="AB35" s="204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4"/>
      <c r="AO35" s="204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4"/>
      <c r="BB35" s="204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4"/>
      <c r="BO35" s="204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4"/>
      <c r="CB35" s="204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204"/>
      <c r="CO35" s="204"/>
      <c r="CP35" s="209"/>
      <c r="CQ35" s="209"/>
      <c r="CR35" s="209"/>
      <c r="CS35" s="209"/>
      <c r="CT35" s="209"/>
      <c r="CU35" s="209"/>
      <c r="CV35" s="209"/>
      <c r="CW35" s="209"/>
      <c r="CX35" s="209"/>
      <c r="CY35" s="209"/>
      <c r="CZ35" s="209"/>
      <c r="DA35" s="204"/>
      <c r="DB35" s="204"/>
      <c r="DC35" s="209"/>
      <c r="DD35" s="209"/>
      <c r="DE35" s="209"/>
      <c r="DF35" s="209"/>
      <c r="DG35" s="209"/>
      <c r="DH35" s="209"/>
      <c r="DI35" s="209"/>
      <c r="DJ35" s="209"/>
      <c r="DK35" s="209"/>
      <c r="DL35" s="209"/>
      <c r="DM35" s="209"/>
      <c r="DN35" s="204"/>
      <c r="DO35" s="204"/>
      <c r="DP35" s="209"/>
      <c r="DQ35" s="209"/>
      <c r="DR35" s="209"/>
      <c r="DS35" s="209"/>
      <c r="DT35" s="209"/>
      <c r="DU35" s="209"/>
      <c r="DV35" s="209"/>
      <c r="DW35" s="209"/>
      <c r="DX35" s="209"/>
      <c r="DY35" s="209"/>
      <c r="DZ35" s="209"/>
      <c r="EA35" s="204"/>
      <c r="EB35" s="204"/>
      <c r="EC35" s="209"/>
      <c r="ED35" s="209"/>
      <c r="EE35" s="209"/>
      <c r="EF35" s="209"/>
      <c r="EG35" s="209"/>
      <c r="EH35" s="209"/>
      <c r="EI35" s="209"/>
      <c r="EJ35" s="209"/>
      <c r="EK35" s="209"/>
      <c r="EL35" s="209"/>
      <c r="EM35" s="209"/>
      <c r="EN35" s="204"/>
      <c r="EO35" s="204"/>
      <c r="EP35" s="209"/>
      <c r="EQ35" s="209"/>
      <c r="ER35" s="209"/>
      <c r="ES35" s="209"/>
      <c r="ET35" s="209"/>
      <c r="EU35" s="209"/>
      <c r="EV35" s="209"/>
      <c r="EW35" s="209"/>
      <c r="EX35" s="209"/>
      <c r="EY35" s="209"/>
      <c r="EZ35" s="209"/>
      <c r="FA35" s="204"/>
      <c r="FB35" s="204"/>
      <c r="FC35" s="209"/>
      <c r="FD35" s="209"/>
      <c r="FE35" s="209"/>
      <c r="FF35" s="209"/>
      <c r="FG35" s="209"/>
      <c r="FH35" s="209"/>
      <c r="FI35" s="209"/>
      <c r="FJ35" s="209"/>
      <c r="FK35" s="209"/>
      <c r="FL35" s="209"/>
      <c r="FM35" s="209"/>
      <c r="FN35" s="204"/>
      <c r="FO35" s="204"/>
      <c r="FP35" s="209"/>
      <c r="FQ35" s="209"/>
      <c r="FR35" s="209"/>
      <c r="FS35" s="209"/>
      <c r="FT35" s="209"/>
      <c r="FU35" s="209"/>
      <c r="FV35" s="209"/>
      <c r="FW35" s="209"/>
      <c r="FX35" s="209"/>
      <c r="FY35" s="209"/>
      <c r="FZ35" s="209"/>
      <c r="GA35" s="204"/>
      <c r="GB35" s="204"/>
      <c r="GC35" s="209"/>
      <c r="GD35" s="209"/>
      <c r="GE35" s="209"/>
      <c r="GF35" s="209"/>
      <c r="GG35" s="209"/>
      <c r="GH35" s="209"/>
      <c r="GI35" s="209"/>
      <c r="GJ35" s="209"/>
      <c r="GK35" s="209"/>
      <c r="GL35" s="209"/>
      <c r="GM35" s="209"/>
      <c r="GN35" s="204"/>
      <c r="GO35" s="204"/>
      <c r="GP35" s="209"/>
      <c r="GQ35" s="209"/>
      <c r="GR35" s="209"/>
      <c r="GS35" s="209"/>
      <c r="GT35" s="209"/>
      <c r="GU35" s="209"/>
      <c r="GV35" s="209"/>
      <c r="GW35" s="209"/>
      <c r="GX35" s="209"/>
      <c r="GY35" s="209"/>
      <c r="GZ35" s="209"/>
      <c r="HA35" s="204"/>
      <c r="HB35" s="204"/>
      <c r="HC35" s="209"/>
      <c r="HD35" s="209"/>
      <c r="HE35" s="209"/>
      <c r="HF35" s="209"/>
      <c r="HG35" s="209"/>
      <c r="HH35" s="209"/>
      <c r="HI35" s="209"/>
      <c r="HJ35" s="209"/>
      <c r="HK35" s="209"/>
      <c r="HL35" s="209"/>
      <c r="HM35" s="209"/>
      <c r="HN35" s="204"/>
      <c r="HO35" s="204"/>
      <c r="HP35" s="209"/>
      <c r="HQ35" s="209"/>
      <c r="HR35" s="209"/>
      <c r="HS35" s="209"/>
      <c r="HT35" s="209"/>
      <c r="HU35" s="209"/>
      <c r="HV35" s="209"/>
      <c r="HW35" s="209"/>
      <c r="HX35" s="209"/>
      <c r="HY35" s="209"/>
      <c r="HZ35" s="209"/>
      <c r="IA35" s="204"/>
      <c r="IB35" s="204"/>
      <c r="IC35" s="209"/>
      <c r="ID35" s="209"/>
      <c r="IE35" s="209"/>
      <c r="IF35" s="209"/>
      <c r="IG35" s="209"/>
      <c r="IH35" s="209"/>
      <c r="II35" s="209"/>
      <c r="IJ35" s="209"/>
      <c r="IK35" s="209"/>
      <c r="IL35" s="209"/>
      <c r="IM35" s="209"/>
      <c r="IN35" s="204"/>
      <c r="IO35" s="204"/>
      <c r="IP35" s="209"/>
      <c r="IQ35" s="209"/>
      <c r="IR35" s="209"/>
      <c r="IS35" s="209"/>
      <c r="IT35" s="209"/>
      <c r="IU35" s="209"/>
      <c r="IV35" s="209"/>
    </row>
    <row r="36" spans="1:256" x14ac:dyDescent="0.2">
      <c r="A36" s="215"/>
      <c r="B36" s="21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8"/>
      <c r="N36" s="208"/>
      <c r="O36" s="208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04"/>
      <c r="AB36" s="204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4"/>
      <c r="AO36" s="204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4"/>
      <c r="BB36" s="204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4"/>
      <c r="BO36" s="204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4"/>
      <c r="CB36" s="204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204"/>
      <c r="CO36" s="204"/>
      <c r="CP36" s="209"/>
      <c r="CQ36" s="209"/>
      <c r="CR36" s="209"/>
      <c r="CS36" s="209"/>
      <c r="CT36" s="209"/>
      <c r="CU36" s="209"/>
      <c r="CV36" s="209"/>
      <c r="CW36" s="209"/>
      <c r="CX36" s="209"/>
      <c r="CY36" s="209"/>
      <c r="CZ36" s="209"/>
      <c r="DA36" s="204"/>
      <c r="DB36" s="204"/>
      <c r="DC36" s="209"/>
      <c r="DD36" s="209"/>
      <c r="DE36" s="209"/>
      <c r="DF36" s="209"/>
      <c r="DG36" s="209"/>
      <c r="DH36" s="209"/>
      <c r="DI36" s="209"/>
      <c r="DJ36" s="209"/>
      <c r="DK36" s="209"/>
      <c r="DL36" s="209"/>
      <c r="DM36" s="209"/>
      <c r="DN36" s="204"/>
      <c r="DO36" s="204"/>
      <c r="DP36" s="209"/>
      <c r="DQ36" s="209"/>
      <c r="DR36" s="209"/>
      <c r="DS36" s="209"/>
      <c r="DT36" s="209"/>
      <c r="DU36" s="209"/>
      <c r="DV36" s="209"/>
      <c r="DW36" s="209"/>
      <c r="DX36" s="209"/>
      <c r="DY36" s="209"/>
      <c r="DZ36" s="209"/>
      <c r="EA36" s="204"/>
      <c r="EB36" s="204"/>
      <c r="EC36" s="209"/>
      <c r="ED36" s="209"/>
      <c r="EE36" s="209"/>
      <c r="EF36" s="209"/>
      <c r="EG36" s="209"/>
      <c r="EH36" s="209"/>
      <c r="EI36" s="209"/>
      <c r="EJ36" s="209"/>
      <c r="EK36" s="209"/>
      <c r="EL36" s="209"/>
      <c r="EM36" s="209"/>
      <c r="EN36" s="204"/>
      <c r="EO36" s="204"/>
      <c r="EP36" s="209"/>
      <c r="EQ36" s="209"/>
      <c r="ER36" s="209"/>
      <c r="ES36" s="209"/>
      <c r="ET36" s="209"/>
      <c r="EU36" s="209"/>
      <c r="EV36" s="209"/>
      <c r="EW36" s="209"/>
      <c r="EX36" s="209"/>
      <c r="EY36" s="209"/>
      <c r="EZ36" s="209"/>
      <c r="FA36" s="204"/>
      <c r="FB36" s="204"/>
      <c r="FC36" s="209"/>
      <c r="FD36" s="209"/>
      <c r="FE36" s="209"/>
      <c r="FF36" s="209"/>
      <c r="FG36" s="209"/>
      <c r="FH36" s="209"/>
      <c r="FI36" s="209"/>
      <c r="FJ36" s="209"/>
      <c r="FK36" s="209"/>
      <c r="FL36" s="209"/>
      <c r="FM36" s="209"/>
      <c r="FN36" s="204"/>
      <c r="FO36" s="204"/>
      <c r="FP36" s="209"/>
      <c r="FQ36" s="209"/>
      <c r="FR36" s="209"/>
      <c r="FS36" s="209"/>
      <c r="FT36" s="209"/>
      <c r="FU36" s="209"/>
      <c r="FV36" s="209"/>
      <c r="FW36" s="209"/>
      <c r="FX36" s="209"/>
      <c r="FY36" s="209"/>
      <c r="FZ36" s="209"/>
      <c r="GA36" s="204"/>
      <c r="GB36" s="204"/>
      <c r="GC36" s="209"/>
      <c r="GD36" s="209"/>
      <c r="GE36" s="209"/>
      <c r="GF36" s="209"/>
      <c r="GG36" s="209"/>
      <c r="GH36" s="209"/>
      <c r="GI36" s="209"/>
      <c r="GJ36" s="209"/>
      <c r="GK36" s="209"/>
      <c r="GL36" s="209"/>
      <c r="GM36" s="209"/>
      <c r="GN36" s="204"/>
      <c r="GO36" s="204"/>
      <c r="GP36" s="209"/>
      <c r="GQ36" s="209"/>
      <c r="GR36" s="209"/>
      <c r="GS36" s="209"/>
      <c r="GT36" s="209"/>
      <c r="GU36" s="209"/>
      <c r="GV36" s="209"/>
      <c r="GW36" s="209"/>
      <c r="GX36" s="209"/>
      <c r="GY36" s="209"/>
      <c r="GZ36" s="209"/>
      <c r="HA36" s="204"/>
      <c r="HB36" s="204"/>
      <c r="HC36" s="209"/>
      <c r="HD36" s="209"/>
      <c r="HE36" s="209"/>
      <c r="HF36" s="209"/>
      <c r="HG36" s="209"/>
      <c r="HH36" s="209"/>
      <c r="HI36" s="209"/>
      <c r="HJ36" s="209"/>
      <c r="HK36" s="209"/>
      <c r="HL36" s="209"/>
      <c r="HM36" s="209"/>
      <c r="HN36" s="204"/>
      <c r="HO36" s="204"/>
      <c r="HP36" s="209"/>
      <c r="HQ36" s="209"/>
      <c r="HR36" s="209"/>
      <c r="HS36" s="209"/>
      <c r="HT36" s="209"/>
      <c r="HU36" s="209"/>
      <c r="HV36" s="209"/>
      <c r="HW36" s="209"/>
      <c r="HX36" s="209"/>
      <c r="HY36" s="209"/>
      <c r="HZ36" s="209"/>
      <c r="IA36" s="204"/>
      <c r="IB36" s="204"/>
      <c r="IC36" s="209"/>
      <c r="ID36" s="209"/>
      <c r="IE36" s="209"/>
      <c r="IF36" s="209"/>
      <c r="IG36" s="209"/>
      <c r="IH36" s="209"/>
      <c r="II36" s="209"/>
      <c r="IJ36" s="209"/>
      <c r="IK36" s="209"/>
      <c r="IL36" s="209"/>
      <c r="IM36" s="209"/>
      <c r="IN36" s="204"/>
      <c r="IO36" s="204"/>
      <c r="IP36" s="209"/>
      <c r="IQ36" s="209"/>
      <c r="IR36" s="209"/>
      <c r="IS36" s="209"/>
      <c r="IT36" s="209"/>
      <c r="IU36" s="209"/>
      <c r="IV36" s="209"/>
    </row>
    <row r="37" spans="1:256" x14ac:dyDescent="0.2">
      <c r="A37" s="215"/>
      <c r="B37" s="21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8"/>
      <c r="N37" s="208"/>
      <c r="O37" s="208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04"/>
      <c r="AB37" s="204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4"/>
      <c r="AO37" s="204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4"/>
      <c r="BB37" s="204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4"/>
      <c r="BO37" s="204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4"/>
      <c r="CB37" s="204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204"/>
      <c r="CO37" s="204"/>
      <c r="CP37" s="209"/>
      <c r="CQ37" s="209"/>
      <c r="CR37" s="209"/>
      <c r="CS37" s="209"/>
      <c r="CT37" s="209"/>
      <c r="CU37" s="209"/>
      <c r="CV37" s="209"/>
      <c r="CW37" s="209"/>
      <c r="CX37" s="209"/>
      <c r="CY37" s="209"/>
      <c r="CZ37" s="209"/>
      <c r="DA37" s="204"/>
      <c r="DB37" s="204"/>
      <c r="DC37" s="209"/>
      <c r="DD37" s="209"/>
      <c r="DE37" s="209"/>
      <c r="DF37" s="209"/>
      <c r="DG37" s="209"/>
      <c r="DH37" s="209"/>
      <c r="DI37" s="209"/>
      <c r="DJ37" s="209"/>
      <c r="DK37" s="209"/>
      <c r="DL37" s="209"/>
      <c r="DM37" s="209"/>
      <c r="DN37" s="204"/>
      <c r="DO37" s="204"/>
      <c r="DP37" s="209"/>
      <c r="DQ37" s="209"/>
      <c r="DR37" s="209"/>
      <c r="DS37" s="209"/>
      <c r="DT37" s="209"/>
      <c r="DU37" s="209"/>
      <c r="DV37" s="209"/>
      <c r="DW37" s="209"/>
      <c r="DX37" s="209"/>
      <c r="DY37" s="209"/>
      <c r="DZ37" s="209"/>
      <c r="EA37" s="204"/>
      <c r="EB37" s="204"/>
      <c r="EC37" s="209"/>
      <c r="ED37" s="209"/>
      <c r="EE37" s="209"/>
      <c r="EF37" s="209"/>
      <c r="EG37" s="209"/>
      <c r="EH37" s="209"/>
      <c r="EI37" s="209"/>
      <c r="EJ37" s="209"/>
      <c r="EK37" s="209"/>
      <c r="EL37" s="209"/>
      <c r="EM37" s="209"/>
      <c r="EN37" s="204"/>
      <c r="EO37" s="204"/>
      <c r="EP37" s="209"/>
      <c r="EQ37" s="209"/>
      <c r="ER37" s="209"/>
      <c r="ES37" s="209"/>
      <c r="ET37" s="209"/>
      <c r="EU37" s="209"/>
      <c r="EV37" s="209"/>
      <c r="EW37" s="209"/>
      <c r="EX37" s="209"/>
      <c r="EY37" s="209"/>
      <c r="EZ37" s="209"/>
      <c r="FA37" s="204"/>
      <c r="FB37" s="204"/>
      <c r="FC37" s="209"/>
      <c r="FD37" s="209"/>
      <c r="FE37" s="209"/>
      <c r="FF37" s="209"/>
      <c r="FG37" s="209"/>
      <c r="FH37" s="209"/>
      <c r="FI37" s="209"/>
      <c r="FJ37" s="209"/>
      <c r="FK37" s="209"/>
      <c r="FL37" s="209"/>
      <c r="FM37" s="209"/>
      <c r="FN37" s="204"/>
      <c r="FO37" s="204"/>
      <c r="FP37" s="209"/>
      <c r="FQ37" s="209"/>
      <c r="FR37" s="209"/>
      <c r="FS37" s="209"/>
      <c r="FT37" s="209"/>
      <c r="FU37" s="209"/>
      <c r="FV37" s="209"/>
      <c r="FW37" s="209"/>
      <c r="FX37" s="209"/>
      <c r="FY37" s="209"/>
      <c r="FZ37" s="209"/>
      <c r="GA37" s="204"/>
      <c r="GB37" s="204"/>
      <c r="GC37" s="209"/>
      <c r="GD37" s="209"/>
      <c r="GE37" s="209"/>
      <c r="GF37" s="209"/>
      <c r="GG37" s="209"/>
      <c r="GH37" s="209"/>
      <c r="GI37" s="209"/>
      <c r="GJ37" s="209"/>
      <c r="GK37" s="209"/>
      <c r="GL37" s="209"/>
      <c r="GM37" s="209"/>
      <c r="GN37" s="204"/>
      <c r="GO37" s="204"/>
      <c r="GP37" s="209"/>
      <c r="GQ37" s="209"/>
      <c r="GR37" s="209"/>
      <c r="GS37" s="209"/>
      <c r="GT37" s="209"/>
      <c r="GU37" s="209"/>
      <c r="GV37" s="209"/>
      <c r="GW37" s="209"/>
      <c r="GX37" s="209"/>
      <c r="GY37" s="209"/>
      <c r="GZ37" s="209"/>
      <c r="HA37" s="204"/>
      <c r="HB37" s="204"/>
      <c r="HC37" s="209"/>
      <c r="HD37" s="209"/>
      <c r="HE37" s="209"/>
      <c r="HF37" s="209"/>
      <c r="HG37" s="209"/>
      <c r="HH37" s="209"/>
      <c r="HI37" s="209"/>
      <c r="HJ37" s="209"/>
      <c r="HK37" s="209"/>
      <c r="HL37" s="209"/>
      <c r="HM37" s="209"/>
      <c r="HN37" s="204"/>
      <c r="HO37" s="204"/>
      <c r="HP37" s="209"/>
      <c r="HQ37" s="209"/>
      <c r="HR37" s="209"/>
      <c r="HS37" s="209"/>
      <c r="HT37" s="209"/>
      <c r="HU37" s="209"/>
      <c r="HV37" s="209"/>
      <c r="HW37" s="209"/>
      <c r="HX37" s="209"/>
      <c r="HY37" s="209"/>
      <c r="HZ37" s="209"/>
      <c r="IA37" s="204"/>
      <c r="IB37" s="204"/>
      <c r="IC37" s="209"/>
      <c r="ID37" s="209"/>
      <c r="IE37" s="209"/>
      <c r="IF37" s="209"/>
      <c r="IG37" s="209"/>
      <c r="IH37" s="209"/>
      <c r="II37" s="209"/>
      <c r="IJ37" s="209"/>
      <c r="IK37" s="209"/>
      <c r="IL37" s="209"/>
      <c r="IM37" s="209"/>
      <c r="IN37" s="204"/>
      <c r="IO37" s="204"/>
      <c r="IP37" s="209"/>
      <c r="IQ37" s="209"/>
      <c r="IR37" s="209"/>
      <c r="IS37" s="209"/>
      <c r="IT37" s="209"/>
      <c r="IU37" s="209"/>
      <c r="IV37" s="209"/>
    </row>
    <row r="38" spans="1:256" x14ac:dyDescent="0.2">
      <c r="A38" s="215"/>
      <c r="B38" s="21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8"/>
      <c r="N38" s="208"/>
      <c r="O38" s="208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04"/>
      <c r="AB38" s="204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04"/>
      <c r="AO38" s="204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04"/>
      <c r="BB38" s="204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76"/>
      <c r="BN38" s="204"/>
      <c r="BO38" s="204"/>
      <c r="BP38" s="276"/>
      <c r="BQ38" s="276"/>
      <c r="BR38" s="276"/>
      <c r="BS38" s="276"/>
      <c r="BT38" s="276"/>
      <c r="BU38" s="276"/>
      <c r="BV38" s="276"/>
      <c r="BW38" s="276"/>
      <c r="BX38" s="276"/>
      <c r="BY38" s="276"/>
      <c r="BZ38" s="276"/>
      <c r="CA38" s="204"/>
      <c r="CB38" s="204"/>
      <c r="CC38" s="276"/>
      <c r="CD38" s="276"/>
      <c r="CE38" s="276"/>
      <c r="CF38" s="276"/>
      <c r="CG38" s="276"/>
      <c r="CH38" s="276"/>
      <c r="CI38" s="276"/>
      <c r="CJ38" s="276"/>
      <c r="CK38" s="276"/>
      <c r="CL38" s="276"/>
      <c r="CM38" s="276"/>
      <c r="CN38" s="204"/>
      <c r="CO38" s="204"/>
      <c r="CP38" s="276"/>
      <c r="CQ38" s="276"/>
      <c r="CR38" s="276"/>
      <c r="CS38" s="276"/>
      <c r="CT38" s="276"/>
      <c r="CU38" s="276"/>
      <c r="CV38" s="276"/>
      <c r="CW38" s="276"/>
      <c r="CX38" s="276"/>
      <c r="CY38" s="276"/>
      <c r="CZ38" s="276"/>
      <c r="DA38" s="204"/>
      <c r="DB38" s="204"/>
      <c r="DC38" s="276"/>
      <c r="DD38" s="276"/>
      <c r="DE38" s="276"/>
      <c r="DF38" s="276"/>
      <c r="DG38" s="276"/>
      <c r="DH38" s="276"/>
      <c r="DI38" s="276"/>
      <c r="DJ38" s="276"/>
      <c r="DK38" s="276"/>
      <c r="DL38" s="276"/>
      <c r="DM38" s="276"/>
      <c r="DN38" s="204"/>
      <c r="DO38" s="204"/>
      <c r="DP38" s="276"/>
      <c r="DQ38" s="276"/>
      <c r="DR38" s="276"/>
      <c r="DS38" s="276"/>
      <c r="DT38" s="276"/>
      <c r="DU38" s="276"/>
      <c r="DV38" s="276"/>
      <c r="DW38" s="276"/>
      <c r="DX38" s="276"/>
      <c r="DY38" s="276"/>
      <c r="DZ38" s="276"/>
      <c r="EA38" s="204"/>
      <c r="EB38" s="204"/>
      <c r="EC38" s="276"/>
      <c r="ED38" s="276"/>
      <c r="EE38" s="276"/>
      <c r="EF38" s="276"/>
      <c r="EG38" s="276"/>
      <c r="EH38" s="276"/>
      <c r="EI38" s="276"/>
      <c r="EJ38" s="276"/>
      <c r="EK38" s="276"/>
      <c r="EL38" s="276"/>
      <c r="EM38" s="276"/>
      <c r="EN38" s="204"/>
      <c r="EO38" s="204"/>
      <c r="EP38" s="276"/>
      <c r="EQ38" s="276"/>
      <c r="ER38" s="276"/>
      <c r="ES38" s="276"/>
      <c r="ET38" s="276"/>
      <c r="EU38" s="276"/>
      <c r="EV38" s="276"/>
      <c r="EW38" s="276"/>
      <c r="EX38" s="276"/>
      <c r="EY38" s="276"/>
      <c r="EZ38" s="276"/>
      <c r="FA38" s="204"/>
      <c r="FB38" s="204"/>
      <c r="FC38" s="276"/>
      <c r="FD38" s="276"/>
      <c r="FE38" s="276"/>
      <c r="FF38" s="276"/>
      <c r="FG38" s="276"/>
      <c r="FH38" s="276"/>
      <c r="FI38" s="276"/>
      <c r="FJ38" s="276"/>
      <c r="FK38" s="276"/>
      <c r="FL38" s="276"/>
      <c r="FM38" s="276"/>
      <c r="FN38" s="204"/>
      <c r="FO38" s="204"/>
      <c r="FP38" s="276"/>
      <c r="FQ38" s="276"/>
      <c r="FR38" s="276"/>
      <c r="FS38" s="276"/>
      <c r="FT38" s="276"/>
      <c r="FU38" s="276"/>
      <c r="FV38" s="276"/>
      <c r="FW38" s="276"/>
      <c r="FX38" s="276"/>
      <c r="FY38" s="276"/>
      <c r="FZ38" s="276"/>
      <c r="GA38" s="204"/>
      <c r="GB38" s="204"/>
      <c r="GC38" s="276"/>
      <c r="GD38" s="276"/>
      <c r="GE38" s="276"/>
      <c r="GF38" s="276"/>
      <c r="GG38" s="276"/>
      <c r="GH38" s="276"/>
      <c r="GI38" s="276"/>
      <c r="GJ38" s="276"/>
      <c r="GK38" s="276"/>
      <c r="GL38" s="276"/>
      <c r="GM38" s="276"/>
      <c r="GN38" s="204"/>
      <c r="GO38" s="204"/>
      <c r="GP38" s="276"/>
      <c r="GQ38" s="276"/>
      <c r="GR38" s="276"/>
      <c r="GS38" s="276"/>
      <c r="GT38" s="276"/>
      <c r="GU38" s="276"/>
      <c r="GV38" s="276"/>
      <c r="GW38" s="276"/>
      <c r="GX38" s="276"/>
      <c r="GY38" s="276"/>
      <c r="GZ38" s="276"/>
      <c r="HA38" s="204"/>
      <c r="HB38" s="204"/>
      <c r="HC38" s="276"/>
      <c r="HD38" s="276"/>
      <c r="HE38" s="276"/>
      <c r="HF38" s="276"/>
      <c r="HG38" s="276"/>
      <c r="HH38" s="276"/>
      <c r="HI38" s="276"/>
      <c r="HJ38" s="276"/>
      <c r="HK38" s="276"/>
      <c r="HL38" s="276"/>
      <c r="HM38" s="276"/>
      <c r="HN38" s="204"/>
      <c r="HO38" s="204"/>
      <c r="HP38" s="276"/>
      <c r="HQ38" s="276"/>
      <c r="HR38" s="276"/>
      <c r="HS38" s="276"/>
      <c r="HT38" s="276"/>
      <c r="HU38" s="276"/>
      <c r="HV38" s="276"/>
      <c r="HW38" s="276"/>
      <c r="HX38" s="276"/>
      <c r="HY38" s="276"/>
      <c r="HZ38" s="276"/>
      <c r="IA38" s="204"/>
      <c r="IB38" s="204"/>
      <c r="IC38" s="276"/>
      <c r="ID38" s="276"/>
      <c r="IE38" s="276"/>
      <c r="IF38" s="276"/>
      <c r="IG38" s="276"/>
      <c r="IH38" s="276"/>
      <c r="II38" s="276"/>
      <c r="IJ38" s="276"/>
      <c r="IK38" s="276"/>
      <c r="IL38" s="276"/>
      <c r="IM38" s="276"/>
      <c r="IN38" s="204"/>
      <c r="IO38" s="204"/>
      <c r="IP38" s="276"/>
      <c r="IQ38" s="276"/>
      <c r="IR38" s="276"/>
      <c r="IS38" s="276"/>
      <c r="IT38" s="276"/>
      <c r="IU38" s="276"/>
      <c r="IV38" s="276"/>
    </row>
    <row r="39" spans="1:256" x14ac:dyDescent="0.2">
      <c r="A39" s="215"/>
      <c r="B39" s="21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8"/>
      <c r="N39" s="208"/>
      <c r="O39" s="208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04"/>
      <c r="AB39" s="204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04"/>
      <c r="AO39" s="204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04"/>
      <c r="BB39" s="204"/>
      <c r="BC39" s="276"/>
      <c r="BD39" s="276"/>
      <c r="BE39" s="276"/>
      <c r="BF39" s="276"/>
      <c r="BG39" s="276"/>
      <c r="BH39" s="276"/>
      <c r="BI39" s="276"/>
      <c r="BJ39" s="276"/>
      <c r="BK39" s="276"/>
      <c r="BL39" s="276"/>
      <c r="BM39" s="276"/>
      <c r="BN39" s="204"/>
      <c r="BO39" s="204"/>
      <c r="BP39" s="276"/>
      <c r="BQ39" s="276"/>
      <c r="BR39" s="276"/>
      <c r="BS39" s="276"/>
      <c r="BT39" s="276"/>
      <c r="BU39" s="276"/>
      <c r="BV39" s="276"/>
      <c r="BW39" s="276"/>
      <c r="BX39" s="276"/>
      <c r="BY39" s="276"/>
      <c r="BZ39" s="276"/>
      <c r="CA39" s="204"/>
      <c r="CB39" s="204"/>
      <c r="CC39" s="276"/>
      <c r="CD39" s="276"/>
      <c r="CE39" s="276"/>
      <c r="CF39" s="276"/>
      <c r="CG39" s="276"/>
      <c r="CH39" s="276"/>
      <c r="CI39" s="276"/>
      <c r="CJ39" s="276"/>
      <c r="CK39" s="276"/>
      <c r="CL39" s="276"/>
      <c r="CM39" s="276"/>
      <c r="CN39" s="204"/>
      <c r="CO39" s="204"/>
      <c r="CP39" s="276"/>
      <c r="CQ39" s="276"/>
      <c r="CR39" s="276"/>
      <c r="CS39" s="276"/>
      <c r="CT39" s="276"/>
      <c r="CU39" s="276"/>
      <c r="CV39" s="276"/>
      <c r="CW39" s="276"/>
      <c r="CX39" s="276"/>
      <c r="CY39" s="276"/>
      <c r="CZ39" s="276"/>
      <c r="DA39" s="204"/>
      <c r="DB39" s="204"/>
      <c r="DC39" s="276"/>
      <c r="DD39" s="276"/>
      <c r="DE39" s="276"/>
      <c r="DF39" s="276"/>
      <c r="DG39" s="276"/>
      <c r="DH39" s="276"/>
      <c r="DI39" s="276"/>
      <c r="DJ39" s="276"/>
      <c r="DK39" s="276"/>
      <c r="DL39" s="276"/>
      <c r="DM39" s="276"/>
      <c r="DN39" s="204"/>
      <c r="DO39" s="204"/>
      <c r="DP39" s="276"/>
      <c r="DQ39" s="276"/>
      <c r="DR39" s="276"/>
      <c r="DS39" s="276"/>
      <c r="DT39" s="276"/>
      <c r="DU39" s="276"/>
      <c r="DV39" s="276"/>
      <c r="DW39" s="276"/>
      <c r="DX39" s="276"/>
      <c r="DY39" s="276"/>
      <c r="DZ39" s="276"/>
      <c r="EA39" s="204"/>
      <c r="EB39" s="204"/>
      <c r="EC39" s="276"/>
      <c r="ED39" s="276"/>
      <c r="EE39" s="276"/>
      <c r="EF39" s="276"/>
      <c r="EG39" s="276"/>
      <c r="EH39" s="276"/>
      <c r="EI39" s="276"/>
      <c r="EJ39" s="276"/>
      <c r="EK39" s="276"/>
      <c r="EL39" s="276"/>
      <c r="EM39" s="276"/>
      <c r="EN39" s="204"/>
      <c r="EO39" s="204"/>
      <c r="EP39" s="276"/>
      <c r="EQ39" s="276"/>
      <c r="ER39" s="276"/>
      <c r="ES39" s="276"/>
      <c r="ET39" s="276"/>
      <c r="EU39" s="276"/>
      <c r="EV39" s="276"/>
      <c r="EW39" s="276"/>
      <c r="EX39" s="276"/>
      <c r="EY39" s="276"/>
      <c r="EZ39" s="276"/>
      <c r="FA39" s="204"/>
      <c r="FB39" s="204"/>
      <c r="FC39" s="276"/>
      <c r="FD39" s="276"/>
      <c r="FE39" s="276"/>
      <c r="FF39" s="276"/>
      <c r="FG39" s="276"/>
      <c r="FH39" s="276"/>
      <c r="FI39" s="276"/>
      <c r="FJ39" s="276"/>
      <c r="FK39" s="276"/>
      <c r="FL39" s="276"/>
      <c r="FM39" s="276"/>
      <c r="FN39" s="204"/>
      <c r="FO39" s="204"/>
      <c r="FP39" s="276"/>
      <c r="FQ39" s="276"/>
      <c r="FR39" s="276"/>
      <c r="FS39" s="276"/>
      <c r="FT39" s="276"/>
      <c r="FU39" s="276"/>
      <c r="FV39" s="276"/>
      <c r="FW39" s="276"/>
      <c r="FX39" s="276"/>
      <c r="FY39" s="276"/>
      <c r="FZ39" s="276"/>
      <c r="GA39" s="204"/>
      <c r="GB39" s="204"/>
      <c r="GC39" s="276"/>
      <c r="GD39" s="276"/>
      <c r="GE39" s="276"/>
      <c r="GF39" s="276"/>
      <c r="GG39" s="276"/>
      <c r="GH39" s="276"/>
      <c r="GI39" s="276"/>
      <c r="GJ39" s="276"/>
      <c r="GK39" s="276"/>
      <c r="GL39" s="276"/>
      <c r="GM39" s="276"/>
      <c r="GN39" s="204"/>
      <c r="GO39" s="204"/>
      <c r="GP39" s="276"/>
      <c r="GQ39" s="276"/>
      <c r="GR39" s="276"/>
      <c r="GS39" s="276"/>
      <c r="GT39" s="276"/>
      <c r="GU39" s="276"/>
      <c r="GV39" s="276"/>
      <c r="GW39" s="276"/>
      <c r="GX39" s="276"/>
      <c r="GY39" s="276"/>
      <c r="GZ39" s="276"/>
      <c r="HA39" s="204"/>
      <c r="HB39" s="204"/>
      <c r="HC39" s="276"/>
      <c r="HD39" s="276"/>
      <c r="HE39" s="276"/>
      <c r="HF39" s="276"/>
      <c r="HG39" s="276"/>
      <c r="HH39" s="276"/>
      <c r="HI39" s="276"/>
      <c r="HJ39" s="276"/>
      <c r="HK39" s="276"/>
      <c r="HL39" s="276"/>
      <c r="HM39" s="276"/>
      <c r="HN39" s="204"/>
      <c r="HO39" s="204"/>
      <c r="HP39" s="276"/>
      <c r="HQ39" s="276"/>
      <c r="HR39" s="276"/>
      <c r="HS39" s="276"/>
      <c r="HT39" s="276"/>
      <c r="HU39" s="276"/>
      <c r="HV39" s="276"/>
      <c r="HW39" s="276"/>
      <c r="HX39" s="276"/>
      <c r="HY39" s="276"/>
      <c r="HZ39" s="276"/>
      <c r="IA39" s="204"/>
      <c r="IB39" s="204"/>
      <c r="IC39" s="276"/>
      <c r="ID39" s="276"/>
      <c r="IE39" s="276"/>
      <c r="IF39" s="276"/>
      <c r="IG39" s="276"/>
      <c r="IH39" s="276"/>
      <c r="II39" s="276"/>
      <c r="IJ39" s="276"/>
      <c r="IK39" s="276"/>
      <c r="IL39" s="276"/>
      <c r="IM39" s="276"/>
      <c r="IN39" s="204"/>
      <c r="IO39" s="204"/>
      <c r="IP39" s="276"/>
      <c r="IQ39" s="276"/>
      <c r="IR39" s="276"/>
      <c r="IS39" s="276"/>
      <c r="IT39" s="276"/>
      <c r="IU39" s="276"/>
      <c r="IV39" s="276"/>
    </row>
    <row r="40" spans="1:256" x14ac:dyDescent="0.2">
      <c r="A40" s="215"/>
      <c r="B40" s="21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8"/>
      <c r="N40" s="208"/>
      <c r="O40" s="208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04"/>
      <c r="AB40" s="204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04"/>
      <c r="AO40" s="204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04"/>
      <c r="BB40" s="204"/>
      <c r="BC40" s="276"/>
      <c r="BD40" s="276"/>
      <c r="BE40" s="276"/>
      <c r="BF40" s="276"/>
      <c r="BG40" s="276"/>
      <c r="BH40" s="276"/>
      <c r="BI40" s="276"/>
      <c r="BJ40" s="276"/>
      <c r="BK40" s="276"/>
      <c r="BL40" s="276"/>
      <c r="BM40" s="276"/>
      <c r="BN40" s="204"/>
      <c r="BO40" s="204"/>
      <c r="BP40" s="276"/>
      <c r="BQ40" s="276"/>
      <c r="BR40" s="276"/>
      <c r="BS40" s="276"/>
      <c r="BT40" s="276"/>
      <c r="BU40" s="276"/>
      <c r="BV40" s="276"/>
      <c r="BW40" s="276"/>
      <c r="BX40" s="276"/>
      <c r="BY40" s="276"/>
      <c r="BZ40" s="276"/>
      <c r="CA40" s="204"/>
      <c r="CB40" s="204"/>
      <c r="CC40" s="276"/>
      <c r="CD40" s="276"/>
      <c r="CE40" s="276"/>
      <c r="CF40" s="276"/>
      <c r="CG40" s="276"/>
      <c r="CH40" s="276"/>
      <c r="CI40" s="276"/>
      <c r="CJ40" s="276"/>
      <c r="CK40" s="276"/>
      <c r="CL40" s="276"/>
      <c r="CM40" s="276"/>
      <c r="CN40" s="204"/>
      <c r="CO40" s="204"/>
      <c r="CP40" s="276"/>
      <c r="CQ40" s="276"/>
      <c r="CR40" s="276"/>
      <c r="CS40" s="276"/>
      <c r="CT40" s="276"/>
      <c r="CU40" s="276"/>
      <c r="CV40" s="276"/>
      <c r="CW40" s="276"/>
      <c r="CX40" s="276"/>
      <c r="CY40" s="276"/>
      <c r="CZ40" s="276"/>
      <c r="DA40" s="204"/>
      <c r="DB40" s="204"/>
      <c r="DC40" s="276"/>
      <c r="DD40" s="276"/>
      <c r="DE40" s="276"/>
      <c r="DF40" s="276"/>
      <c r="DG40" s="276"/>
      <c r="DH40" s="276"/>
      <c r="DI40" s="276"/>
      <c r="DJ40" s="276"/>
      <c r="DK40" s="276"/>
      <c r="DL40" s="276"/>
      <c r="DM40" s="276"/>
      <c r="DN40" s="204"/>
      <c r="DO40" s="204"/>
      <c r="DP40" s="276"/>
      <c r="DQ40" s="276"/>
      <c r="DR40" s="276"/>
      <c r="DS40" s="276"/>
      <c r="DT40" s="276"/>
      <c r="DU40" s="276"/>
      <c r="DV40" s="276"/>
      <c r="DW40" s="276"/>
      <c r="DX40" s="276"/>
      <c r="DY40" s="276"/>
      <c r="DZ40" s="276"/>
      <c r="EA40" s="204"/>
      <c r="EB40" s="204"/>
      <c r="EC40" s="276"/>
      <c r="ED40" s="276"/>
      <c r="EE40" s="276"/>
      <c r="EF40" s="276"/>
      <c r="EG40" s="276"/>
      <c r="EH40" s="276"/>
      <c r="EI40" s="276"/>
      <c r="EJ40" s="276"/>
      <c r="EK40" s="276"/>
      <c r="EL40" s="276"/>
      <c r="EM40" s="276"/>
      <c r="EN40" s="204"/>
      <c r="EO40" s="204"/>
      <c r="EP40" s="276"/>
      <c r="EQ40" s="276"/>
      <c r="ER40" s="276"/>
      <c r="ES40" s="276"/>
      <c r="ET40" s="276"/>
      <c r="EU40" s="276"/>
      <c r="EV40" s="276"/>
      <c r="EW40" s="276"/>
      <c r="EX40" s="276"/>
      <c r="EY40" s="276"/>
      <c r="EZ40" s="276"/>
      <c r="FA40" s="204"/>
      <c r="FB40" s="204"/>
      <c r="FC40" s="276"/>
      <c r="FD40" s="276"/>
      <c r="FE40" s="276"/>
      <c r="FF40" s="276"/>
      <c r="FG40" s="276"/>
      <c r="FH40" s="276"/>
      <c r="FI40" s="276"/>
      <c r="FJ40" s="276"/>
      <c r="FK40" s="276"/>
      <c r="FL40" s="276"/>
      <c r="FM40" s="276"/>
      <c r="FN40" s="204"/>
      <c r="FO40" s="204"/>
      <c r="FP40" s="276"/>
      <c r="FQ40" s="276"/>
      <c r="FR40" s="276"/>
      <c r="FS40" s="276"/>
      <c r="FT40" s="276"/>
      <c r="FU40" s="276"/>
      <c r="FV40" s="276"/>
      <c r="FW40" s="276"/>
      <c r="FX40" s="276"/>
      <c r="FY40" s="276"/>
      <c r="FZ40" s="276"/>
      <c r="GA40" s="204"/>
      <c r="GB40" s="204"/>
      <c r="GC40" s="276"/>
      <c r="GD40" s="276"/>
      <c r="GE40" s="276"/>
      <c r="GF40" s="276"/>
      <c r="GG40" s="276"/>
      <c r="GH40" s="276"/>
      <c r="GI40" s="276"/>
      <c r="GJ40" s="276"/>
      <c r="GK40" s="276"/>
      <c r="GL40" s="276"/>
      <c r="GM40" s="276"/>
      <c r="GN40" s="204"/>
      <c r="GO40" s="204"/>
      <c r="GP40" s="276"/>
      <c r="GQ40" s="276"/>
      <c r="GR40" s="276"/>
      <c r="GS40" s="276"/>
      <c r="GT40" s="276"/>
      <c r="GU40" s="276"/>
      <c r="GV40" s="276"/>
      <c r="GW40" s="276"/>
      <c r="GX40" s="276"/>
      <c r="GY40" s="276"/>
      <c r="GZ40" s="276"/>
      <c r="HA40" s="204"/>
      <c r="HB40" s="204"/>
      <c r="HC40" s="276"/>
      <c r="HD40" s="276"/>
      <c r="HE40" s="276"/>
      <c r="HF40" s="276"/>
      <c r="HG40" s="276"/>
      <c r="HH40" s="276"/>
      <c r="HI40" s="276"/>
      <c r="HJ40" s="276"/>
      <c r="HK40" s="276"/>
      <c r="HL40" s="276"/>
      <c r="HM40" s="276"/>
      <c r="HN40" s="204"/>
      <c r="HO40" s="204"/>
      <c r="HP40" s="276"/>
      <c r="HQ40" s="276"/>
      <c r="HR40" s="276"/>
      <c r="HS40" s="276"/>
      <c r="HT40" s="276"/>
      <c r="HU40" s="276"/>
      <c r="HV40" s="276"/>
      <c r="HW40" s="276"/>
      <c r="HX40" s="276"/>
      <c r="HY40" s="276"/>
      <c r="HZ40" s="276"/>
      <c r="IA40" s="204"/>
      <c r="IB40" s="204"/>
      <c r="IC40" s="276"/>
      <c r="ID40" s="276"/>
      <c r="IE40" s="276"/>
      <c r="IF40" s="276"/>
      <c r="IG40" s="276"/>
      <c r="IH40" s="276"/>
      <c r="II40" s="276"/>
      <c r="IJ40" s="276"/>
      <c r="IK40" s="276"/>
      <c r="IL40" s="276"/>
      <c r="IM40" s="276"/>
      <c r="IN40" s="204"/>
      <c r="IO40" s="204"/>
      <c r="IP40" s="276"/>
      <c r="IQ40" s="276"/>
      <c r="IR40" s="276"/>
      <c r="IS40" s="276"/>
      <c r="IT40" s="276"/>
      <c r="IU40" s="276"/>
      <c r="IV40" s="276"/>
    </row>
    <row r="41" spans="1:256" x14ac:dyDescent="0.2">
      <c r="A41" s="215"/>
      <c r="B41" s="21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8"/>
      <c r="N41" s="208"/>
      <c r="O41" s="208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04"/>
      <c r="AB41" s="204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4"/>
      <c r="AO41" s="204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4"/>
      <c r="BB41" s="204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4"/>
      <c r="BO41" s="204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4"/>
      <c r="CB41" s="204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4"/>
      <c r="CO41" s="204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4"/>
      <c r="DB41" s="204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4"/>
      <c r="DO41" s="204"/>
      <c r="DP41" s="209"/>
      <c r="DQ41" s="209"/>
      <c r="DR41" s="209"/>
      <c r="DS41" s="209"/>
      <c r="DT41" s="209"/>
      <c r="DU41" s="209"/>
      <c r="DV41" s="209"/>
      <c r="DW41" s="209"/>
      <c r="DX41" s="209"/>
      <c r="DY41" s="209"/>
      <c r="DZ41" s="209"/>
      <c r="EA41" s="204"/>
      <c r="EB41" s="204"/>
      <c r="EC41" s="209"/>
      <c r="ED41" s="209"/>
      <c r="EE41" s="209"/>
      <c r="EF41" s="209"/>
      <c r="EG41" s="209"/>
      <c r="EH41" s="209"/>
      <c r="EI41" s="209"/>
      <c r="EJ41" s="209"/>
      <c r="EK41" s="209"/>
      <c r="EL41" s="209"/>
      <c r="EM41" s="209"/>
      <c r="EN41" s="204"/>
      <c r="EO41" s="204"/>
      <c r="EP41" s="209"/>
      <c r="EQ41" s="209"/>
      <c r="ER41" s="209"/>
      <c r="ES41" s="209"/>
      <c r="ET41" s="209"/>
      <c r="EU41" s="209"/>
      <c r="EV41" s="209"/>
      <c r="EW41" s="209"/>
      <c r="EX41" s="209"/>
      <c r="EY41" s="209"/>
      <c r="EZ41" s="209"/>
      <c r="FA41" s="204"/>
      <c r="FB41" s="204"/>
      <c r="FC41" s="209"/>
      <c r="FD41" s="209"/>
      <c r="FE41" s="209"/>
      <c r="FF41" s="209"/>
      <c r="FG41" s="209"/>
      <c r="FH41" s="209"/>
      <c r="FI41" s="209"/>
      <c r="FJ41" s="209"/>
      <c r="FK41" s="209"/>
      <c r="FL41" s="209"/>
      <c r="FM41" s="209"/>
      <c r="FN41" s="204"/>
      <c r="FO41" s="204"/>
      <c r="FP41" s="209"/>
      <c r="FQ41" s="209"/>
      <c r="FR41" s="209"/>
      <c r="FS41" s="209"/>
      <c r="FT41" s="209"/>
      <c r="FU41" s="209"/>
      <c r="FV41" s="209"/>
      <c r="FW41" s="209"/>
      <c r="FX41" s="209"/>
      <c r="FY41" s="209"/>
      <c r="FZ41" s="209"/>
      <c r="GA41" s="204"/>
      <c r="GB41" s="204"/>
      <c r="GC41" s="209"/>
      <c r="GD41" s="209"/>
      <c r="GE41" s="209"/>
      <c r="GF41" s="209"/>
      <c r="GG41" s="209"/>
      <c r="GH41" s="209"/>
      <c r="GI41" s="209"/>
      <c r="GJ41" s="209"/>
      <c r="GK41" s="209"/>
      <c r="GL41" s="209"/>
      <c r="GM41" s="209"/>
      <c r="GN41" s="204"/>
      <c r="GO41" s="204"/>
      <c r="GP41" s="209"/>
      <c r="GQ41" s="209"/>
      <c r="GR41" s="209"/>
      <c r="GS41" s="209"/>
      <c r="GT41" s="209"/>
      <c r="GU41" s="209"/>
      <c r="GV41" s="209"/>
      <c r="GW41" s="209"/>
      <c r="GX41" s="209"/>
      <c r="GY41" s="209"/>
      <c r="GZ41" s="209"/>
      <c r="HA41" s="204"/>
      <c r="HB41" s="204"/>
      <c r="HC41" s="209"/>
      <c r="HD41" s="209"/>
      <c r="HE41" s="209"/>
      <c r="HF41" s="209"/>
      <c r="HG41" s="209"/>
      <c r="HH41" s="209"/>
      <c r="HI41" s="209"/>
      <c r="HJ41" s="209"/>
      <c r="HK41" s="209"/>
      <c r="HL41" s="209"/>
      <c r="HM41" s="209"/>
      <c r="HN41" s="204"/>
      <c r="HO41" s="204"/>
      <c r="HP41" s="209"/>
      <c r="HQ41" s="209"/>
      <c r="HR41" s="209"/>
      <c r="HS41" s="209"/>
      <c r="HT41" s="209"/>
      <c r="HU41" s="209"/>
      <c r="HV41" s="209"/>
      <c r="HW41" s="209"/>
      <c r="HX41" s="209"/>
      <c r="HY41" s="209"/>
      <c r="HZ41" s="209"/>
      <c r="IA41" s="204"/>
      <c r="IB41" s="204"/>
      <c r="IC41" s="209"/>
      <c r="ID41" s="209"/>
      <c r="IE41" s="209"/>
      <c r="IF41" s="209"/>
      <c r="IG41" s="209"/>
      <c r="IH41" s="209"/>
      <c r="II41" s="209"/>
      <c r="IJ41" s="209"/>
      <c r="IK41" s="209"/>
      <c r="IL41" s="209"/>
      <c r="IM41" s="209"/>
      <c r="IN41" s="204"/>
      <c r="IO41" s="204"/>
      <c r="IP41" s="209"/>
      <c r="IQ41" s="209"/>
      <c r="IR41" s="209"/>
      <c r="IS41" s="209"/>
      <c r="IT41" s="209"/>
      <c r="IU41" s="209"/>
      <c r="IV41" s="209"/>
    </row>
    <row r="42" spans="1:256" x14ac:dyDescent="0.2">
      <c r="A42" s="215"/>
      <c r="B42" s="21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8"/>
      <c r="N42" s="208"/>
      <c r="O42" s="208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04"/>
      <c r="AB42" s="204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4"/>
      <c r="AO42" s="204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4"/>
      <c r="BB42" s="204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4"/>
      <c r="BO42" s="204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4"/>
      <c r="CB42" s="204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4"/>
      <c r="CO42" s="204"/>
      <c r="CP42" s="209"/>
      <c r="CQ42" s="209"/>
      <c r="CR42" s="209"/>
      <c r="CS42" s="209"/>
      <c r="CT42" s="209"/>
      <c r="CU42" s="209"/>
      <c r="CV42" s="209"/>
      <c r="CW42" s="209"/>
      <c r="CX42" s="209"/>
      <c r="CY42" s="209"/>
      <c r="CZ42" s="209"/>
      <c r="DA42" s="204"/>
      <c r="DB42" s="204"/>
      <c r="DC42" s="209"/>
      <c r="DD42" s="209"/>
      <c r="DE42" s="209"/>
      <c r="DF42" s="209"/>
      <c r="DG42" s="209"/>
      <c r="DH42" s="209"/>
      <c r="DI42" s="209"/>
      <c r="DJ42" s="209"/>
      <c r="DK42" s="209"/>
      <c r="DL42" s="209"/>
      <c r="DM42" s="209"/>
      <c r="DN42" s="204"/>
      <c r="DO42" s="204"/>
      <c r="DP42" s="209"/>
      <c r="DQ42" s="209"/>
      <c r="DR42" s="209"/>
      <c r="DS42" s="209"/>
      <c r="DT42" s="209"/>
      <c r="DU42" s="209"/>
      <c r="DV42" s="209"/>
      <c r="DW42" s="209"/>
      <c r="DX42" s="209"/>
      <c r="DY42" s="209"/>
      <c r="DZ42" s="209"/>
      <c r="EA42" s="204"/>
      <c r="EB42" s="204"/>
      <c r="EC42" s="209"/>
      <c r="ED42" s="209"/>
      <c r="EE42" s="209"/>
      <c r="EF42" s="209"/>
      <c r="EG42" s="209"/>
      <c r="EH42" s="209"/>
      <c r="EI42" s="209"/>
      <c r="EJ42" s="209"/>
      <c r="EK42" s="209"/>
      <c r="EL42" s="209"/>
      <c r="EM42" s="209"/>
      <c r="EN42" s="204"/>
      <c r="EO42" s="204"/>
      <c r="EP42" s="209"/>
      <c r="EQ42" s="209"/>
      <c r="ER42" s="209"/>
      <c r="ES42" s="209"/>
      <c r="ET42" s="209"/>
      <c r="EU42" s="209"/>
      <c r="EV42" s="209"/>
      <c r="EW42" s="209"/>
      <c r="EX42" s="209"/>
      <c r="EY42" s="209"/>
      <c r="EZ42" s="209"/>
      <c r="FA42" s="204"/>
      <c r="FB42" s="204"/>
      <c r="FC42" s="209"/>
      <c r="FD42" s="209"/>
      <c r="FE42" s="209"/>
      <c r="FF42" s="209"/>
      <c r="FG42" s="209"/>
      <c r="FH42" s="209"/>
      <c r="FI42" s="209"/>
      <c r="FJ42" s="209"/>
      <c r="FK42" s="209"/>
      <c r="FL42" s="209"/>
      <c r="FM42" s="209"/>
      <c r="FN42" s="204"/>
      <c r="FO42" s="204"/>
      <c r="FP42" s="209"/>
      <c r="FQ42" s="209"/>
      <c r="FR42" s="209"/>
      <c r="FS42" s="209"/>
      <c r="FT42" s="209"/>
      <c r="FU42" s="209"/>
      <c r="FV42" s="209"/>
      <c r="FW42" s="209"/>
      <c r="FX42" s="209"/>
      <c r="FY42" s="209"/>
      <c r="FZ42" s="209"/>
      <c r="GA42" s="204"/>
      <c r="GB42" s="204"/>
      <c r="GC42" s="209"/>
      <c r="GD42" s="209"/>
      <c r="GE42" s="209"/>
      <c r="GF42" s="209"/>
      <c r="GG42" s="209"/>
      <c r="GH42" s="209"/>
      <c r="GI42" s="209"/>
      <c r="GJ42" s="209"/>
      <c r="GK42" s="209"/>
      <c r="GL42" s="209"/>
      <c r="GM42" s="209"/>
      <c r="GN42" s="204"/>
      <c r="GO42" s="204"/>
      <c r="GP42" s="209"/>
      <c r="GQ42" s="209"/>
      <c r="GR42" s="209"/>
      <c r="GS42" s="209"/>
      <c r="GT42" s="209"/>
      <c r="GU42" s="209"/>
      <c r="GV42" s="209"/>
      <c r="GW42" s="209"/>
      <c r="GX42" s="209"/>
      <c r="GY42" s="209"/>
      <c r="GZ42" s="209"/>
      <c r="HA42" s="204"/>
      <c r="HB42" s="204"/>
      <c r="HC42" s="209"/>
      <c r="HD42" s="209"/>
      <c r="HE42" s="209"/>
      <c r="HF42" s="209"/>
      <c r="HG42" s="209"/>
      <c r="HH42" s="209"/>
      <c r="HI42" s="209"/>
      <c r="HJ42" s="209"/>
      <c r="HK42" s="209"/>
      <c r="HL42" s="209"/>
      <c r="HM42" s="209"/>
      <c r="HN42" s="204"/>
      <c r="HO42" s="204"/>
      <c r="HP42" s="209"/>
      <c r="HQ42" s="209"/>
      <c r="HR42" s="209"/>
      <c r="HS42" s="209"/>
      <c r="HT42" s="209"/>
      <c r="HU42" s="209"/>
      <c r="HV42" s="209"/>
      <c r="HW42" s="209"/>
      <c r="HX42" s="209"/>
      <c r="HY42" s="209"/>
      <c r="HZ42" s="209"/>
      <c r="IA42" s="204"/>
      <c r="IB42" s="204"/>
      <c r="IC42" s="209"/>
      <c r="ID42" s="209"/>
      <c r="IE42" s="209"/>
      <c r="IF42" s="209"/>
      <c r="IG42" s="209"/>
      <c r="IH42" s="209"/>
      <c r="II42" s="209"/>
      <c r="IJ42" s="209"/>
      <c r="IK42" s="209"/>
      <c r="IL42" s="209"/>
      <c r="IM42" s="209"/>
      <c r="IN42" s="204"/>
      <c r="IO42" s="204"/>
      <c r="IP42" s="209"/>
      <c r="IQ42" s="209"/>
      <c r="IR42" s="209"/>
      <c r="IS42" s="209"/>
      <c r="IT42" s="209"/>
      <c r="IU42" s="209"/>
      <c r="IV42" s="209"/>
    </row>
    <row r="43" spans="1:256" x14ac:dyDescent="0.2">
      <c r="A43" s="215"/>
      <c r="B43" s="21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8"/>
      <c r="N43" s="208"/>
      <c r="O43" s="208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04"/>
      <c r="AB43" s="204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4"/>
      <c r="AO43" s="204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4"/>
      <c r="BB43" s="204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09"/>
      <c r="BN43" s="204"/>
      <c r="BO43" s="204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4"/>
      <c r="CB43" s="204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4"/>
      <c r="CO43" s="204"/>
      <c r="CP43" s="209"/>
      <c r="CQ43" s="209"/>
      <c r="CR43" s="209"/>
      <c r="CS43" s="209"/>
      <c r="CT43" s="209"/>
      <c r="CU43" s="209"/>
      <c r="CV43" s="209"/>
      <c r="CW43" s="209"/>
      <c r="CX43" s="209"/>
      <c r="CY43" s="209"/>
      <c r="CZ43" s="209"/>
      <c r="DA43" s="204"/>
      <c r="DB43" s="204"/>
      <c r="DC43" s="209"/>
      <c r="DD43" s="209"/>
      <c r="DE43" s="209"/>
      <c r="DF43" s="209"/>
      <c r="DG43" s="209"/>
      <c r="DH43" s="209"/>
      <c r="DI43" s="209"/>
      <c r="DJ43" s="209"/>
      <c r="DK43" s="209"/>
      <c r="DL43" s="209"/>
      <c r="DM43" s="209"/>
      <c r="DN43" s="204"/>
      <c r="DO43" s="204"/>
      <c r="DP43" s="209"/>
      <c r="DQ43" s="209"/>
      <c r="DR43" s="209"/>
      <c r="DS43" s="209"/>
      <c r="DT43" s="209"/>
      <c r="DU43" s="209"/>
      <c r="DV43" s="209"/>
      <c r="DW43" s="209"/>
      <c r="DX43" s="209"/>
      <c r="DY43" s="209"/>
      <c r="DZ43" s="209"/>
      <c r="EA43" s="204"/>
      <c r="EB43" s="204"/>
      <c r="EC43" s="209"/>
      <c r="ED43" s="209"/>
      <c r="EE43" s="209"/>
      <c r="EF43" s="209"/>
      <c r="EG43" s="209"/>
      <c r="EH43" s="209"/>
      <c r="EI43" s="209"/>
      <c r="EJ43" s="209"/>
      <c r="EK43" s="209"/>
      <c r="EL43" s="209"/>
      <c r="EM43" s="209"/>
      <c r="EN43" s="204"/>
      <c r="EO43" s="204"/>
      <c r="EP43" s="209"/>
      <c r="EQ43" s="209"/>
      <c r="ER43" s="209"/>
      <c r="ES43" s="209"/>
      <c r="ET43" s="209"/>
      <c r="EU43" s="209"/>
      <c r="EV43" s="209"/>
      <c r="EW43" s="209"/>
      <c r="EX43" s="209"/>
      <c r="EY43" s="209"/>
      <c r="EZ43" s="209"/>
      <c r="FA43" s="204"/>
      <c r="FB43" s="204"/>
      <c r="FC43" s="209"/>
      <c r="FD43" s="209"/>
      <c r="FE43" s="209"/>
      <c r="FF43" s="209"/>
      <c r="FG43" s="209"/>
      <c r="FH43" s="209"/>
      <c r="FI43" s="209"/>
      <c r="FJ43" s="209"/>
      <c r="FK43" s="209"/>
      <c r="FL43" s="209"/>
      <c r="FM43" s="209"/>
      <c r="FN43" s="204"/>
      <c r="FO43" s="204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4"/>
      <c r="GB43" s="204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4"/>
      <c r="GO43" s="204"/>
      <c r="GP43" s="209"/>
      <c r="GQ43" s="209"/>
      <c r="GR43" s="209"/>
      <c r="GS43" s="209"/>
      <c r="GT43" s="209"/>
      <c r="GU43" s="209"/>
      <c r="GV43" s="209"/>
      <c r="GW43" s="209"/>
      <c r="GX43" s="209"/>
      <c r="GY43" s="209"/>
      <c r="GZ43" s="209"/>
      <c r="HA43" s="204"/>
      <c r="HB43" s="204"/>
      <c r="HC43" s="209"/>
      <c r="HD43" s="209"/>
      <c r="HE43" s="209"/>
      <c r="HF43" s="209"/>
      <c r="HG43" s="209"/>
      <c r="HH43" s="209"/>
      <c r="HI43" s="209"/>
      <c r="HJ43" s="209"/>
      <c r="HK43" s="209"/>
      <c r="HL43" s="209"/>
      <c r="HM43" s="209"/>
      <c r="HN43" s="204"/>
      <c r="HO43" s="204"/>
      <c r="HP43" s="209"/>
      <c r="HQ43" s="209"/>
      <c r="HR43" s="209"/>
      <c r="HS43" s="209"/>
      <c r="HT43" s="209"/>
      <c r="HU43" s="209"/>
      <c r="HV43" s="209"/>
      <c r="HW43" s="209"/>
      <c r="HX43" s="209"/>
      <c r="HY43" s="209"/>
      <c r="HZ43" s="209"/>
      <c r="IA43" s="204"/>
      <c r="IB43" s="204"/>
      <c r="IC43" s="209"/>
      <c r="ID43" s="209"/>
      <c r="IE43" s="209"/>
      <c r="IF43" s="209"/>
      <c r="IG43" s="209"/>
      <c r="IH43" s="209"/>
      <c r="II43" s="209"/>
      <c r="IJ43" s="209"/>
      <c r="IK43" s="209"/>
      <c r="IL43" s="209"/>
      <c r="IM43" s="209"/>
      <c r="IN43" s="204"/>
      <c r="IO43" s="204"/>
      <c r="IP43" s="209"/>
      <c r="IQ43" s="209"/>
      <c r="IR43" s="209"/>
      <c r="IS43" s="209"/>
      <c r="IT43" s="209"/>
      <c r="IU43" s="209"/>
      <c r="IV43" s="209"/>
    </row>
    <row r="44" spans="1:256" x14ac:dyDescent="0.2">
      <c r="A44" s="215"/>
      <c r="B44" s="21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8"/>
      <c r="N44" s="208"/>
      <c r="O44" s="208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04"/>
      <c r="AB44" s="204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4"/>
      <c r="AO44" s="204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4"/>
      <c r="BB44" s="204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4"/>
      <c r="BO44" s="204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4"/>
      <c r="CB44" s="204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4"/>
      <c r="CO44" s="204"/>
      <c r="CP44" s="209"/>
      <c r="CQ44" s="209"/>
      <c r="CR44" s="209"/>
      <c r="CS44" s="209"/>
      <c r="CT44" s="209"/>
      <c r="CU44" s="209"/>
      <c r="CV44" s="209"/>
      <c r="CW44" s="209"/>
      <c r="CX44" s="209"/>
      <c r="CY44" s="209"/>
      <c r="CZ44" s="209"/>
      <c r="DA44" s="204"/>
      <c r="DB44" s="204"/>
      <c r="DC44" s="209"/>
      <c r="DD44" s="209"/>
      <c r="DE44" s="209"/>
      <c r="DF44" s="209"/>
      <c r="DG44" s="209"/>
      <c r="DH44" s="209"/>
      <c r="DI44" s="209"/>
      <c r="DJ44" s="209"/>
      <c r="DK44" s="209"/>
      <c r="DL44" s="209"/>
      <c r="DM44" s="209"/>
      <c r="DN44" s="204"/>
      <c r="DO44" s="204"/>
      <c r="DP44" s="209"/>
      <c r="DQ44" s="209"/>
      <c r="DR44" s="209"/>
      <c r="DS44" s="209"/>
      <c r="DT44" s="209"/>
      <c r="DU44" s="209"/>
      <c r="DV44" s="209"/>
      <c r="DW44" s="209"/>
      <c r="DX44" s="209"/>
      <c r="DY44" s="209"/>
      <c r="DZ44" s="209"/>
      <c r="EA44" s="204"/>
      <c r="EB44" s="204"/>
      <c r="EC44" s="209"/>
      <c r="ED44" s="209"/>
      <c r="EE44" s="209"/>
      <c r="EF44" s="209"/>
      <c r="EG44" s="209"/>
      <c r="EH44" s="209"/>
      <c r="EI44" s="209"/>
      <c r="EJ44" s="209"/>
      <c r="EK44" s="209"/>
      <c r="EL44" s="209"/>
      <c r="EM44" s="209"/>
      <c r="EN44" s="204"/>
      <c r="EO44" s="204"/>
      <c r="EP44" s="209"/>
      <c r="EQ44" s="209"/>
      <c r="ER44" s="209"/>
      <c r="ES44" s="209"/>
      <c r="ET44" s="209"/>
      <c r="EU44" s="209"/>
      <c r="EV44" s="209"/>
      <c r="EW44" s="209"/>
      <c r="EX44" s="209"/>
      <c r="EY44" s="209"/>
      <c r="EZ44" s="209"/>
      <c r="FA44" s="204"/>
      <c r="FB44" s="204"/>
      <c r="FC44" s="209"/>
      <c r="FD44" s="209"/>
      <c r="FE44" s="209"/>
      <c r="FF44" s="209"/>
      <c r="FG44" s="209"/>
      <c r="FH44" s="209"/>
      <c r="FI44" s="209"/>
      <c r="FJ44" s="209"/>
      <c r="FK44" s="209"/>
      <c r="FL44" s="209"/>
      <c r="FM44" s="209"/>
      <c r="FN44" s="204"/>
      <c r="FO44" s="204"/>
      <c r="FP44" s="209"/>
      <c r="FQ44" s="209"/>
      <c r="FR44" s="209"/>
      <c r="FS44" s="209"/>
      <c r="FT44" s="209"/>
      <c r="FU44" s="209"/>
      <c r="FV44" s="209"/>
      <c r="FW44" s="209"/>
      <c r="FX44" s="209"/>
      <c r="FY44" s="209"/>
      <c r="FZ44" s="209"/>
      <c r="GA44" s="204"/>
      <c r="GB44" s="204"/>
      <c r="GC44" s="209"/>
      <c r="GD44" s="209"/>
      <c r="GE44" s="209"/>
      <c r="GF44" s="209"/>
      <c r="GG44" s="209"/>
      <c r="GH44" s="209"/>
      <c r="GI44" s="209"/>
      <c r="GJ44" s="209"/>
      <c r="GK44" s="209"/>
      <c r="GL44" s="209"/>
      <c r="GM44" s="209"/>
      <c r="GN44" s="204"/>
      <c r="GO44" s="204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4"/>
      <c r="HB44" s="204"/>
      <c r="HC44" s="209"/>
      <c r="HD44" s="209"/>
      <c r="HE44" s="209"/>
      <c r="HF44" s="209"/>
      <c r="HG44" s="209"/>
      <c r="HH44" s="209"/>
      <c r="HI44" s="209"/>
      <c r="HJ44" s="209"/>
      <c r="HK44" s="209"/>
      <c r="HL44" s="209"/>
      <c r="HM44" s="209"/>
      <c r="HN44" s="204"/>
      <c r="HO44" s="204"/>
      <c r="HP44" s="209"/>
      <c r="HQ44" s="209"/>
      <c r="HR44" s="209"/>
      <c r="HS44" s="209"/>
      <c r="HT44" s="209"/>
      <c r="HU44" s="209"/>
      <c r="HV44" s="209"/>
      <c r="HW44" s="209"/>
      <c r="HX44" s="209"/>
      <c r="HY44" s="209"/>
      <c r="HZ44" s="209"/>
      <c r="IA44" s="204"/>
      <c r="IB44" s="204"/>
      <c r="IC44" s="209"/>
      <c r="ID44" s="209"/>
      <c r="IE44" s="209"/>
      <c r="IF44" s="209"/>
      <c r="IG44" s="209"/>
      <c r="IH44" s="209"/>
      <c r="II44" s="209"/>
      <c r="IJ44" s="209"/>
      <c r="IK44" s="209"/>
      <c r="IL44" s="209"/>
      <c r="IM44" s="209"/>
      <c r="IN44" s="204"/>
      <c r="IO44" s="204"/>
      <c r="IP44" s="209"/>
      <c r="IQ44" s="209"/>
      <c r="IR44" s="209"/>
      <c r="IS44" s="209"/>
      <c r="IT44" s="209"/>
      <c r="IU44" s="209"/>
      <c r="IV44" s="209"/>
    </row>
    <row r="45" spans="1:256" x14ac:dyDescent="0.2">
      <c r="A45" s="215"/>
      <c r="B45" s="21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8"/>
      <c r="N45" s="208"/>
      <c r="O45" s="208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04"/>
      <c r="AB45" s="204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4"/>
      <c r="AO45" s="204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4"/>
      <c r="BB45" s="204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4"/>
      <c r="BO45" s="204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4"/>
      <c r="CB45" s="204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4"/>
      <c r="CO45" s="204"/>
      <c r="CP45" s="209"/>
      <c r="CQ45" s="209"/>
      <c r="CR45" s="209"/>
      <c r="CS45" s="209"/>
      <c r="CT45" s="209"/>
      <c r="CU45" s="209"/>
      <c r="CV45" s="209"/>
      <c r="CW45" s="209"/>
      <c r="CX45" s="209"/>
      <c r="CY45" s="209"/>
      <c r="CZ45" s="209"/>
      <c r="DA45" s="204"/>
      <c r="DB45" s="204"/>
      <c r="DC45" s="209"/>
      <c r="DD45" s="209"/>
      <c r="DE45" s="209"/>
      <c r="DF45" s="209"/>
      <c r="DG45" s="209"/>
      <c r="DH45" s="209"/>
      <c r="DI45" s="209"/>
      <c r="DJ45" s="209"/>
      <c r="DK45" s="209"/>
      <c r="DL45" s="209"/>
      <c r="DM45" s="209"/>
      <c r="DN45" s="204"/>
      <c r="DO45" s="204"/>
      <c r="DP45" s="209"/>
      <c r="DQ45" s="209"/>
      <c r="DR45" s="209"/>
      <c r="DS45" s="209"/>
      <c r="DT45" s="209"/>
      <c r="DU45" s="209"/>
      <c r="DV45" s="209"/>
      <c r="DW45" s="209"/>
      <c r="DX45" s="209"/>
      <c r="DY45" s="209"/>
      <c r="DZ45" s="209"/>
      <c r="EA45" s="204"/>
      <c r="EB45" s="204"/>
      <c r="EC45" s="209"/>
      <c r="ED45" s="209"/>
      <c r="EE45" s="209"/>
      <c r="EF45" s="209"/>
      <c r="EG45" s="209"/>
      <c r="EH45" s="209"/>
      <c r="EI45" s="209"/>
      <c r="EJ45" s="209"/>
      <c r="EK45" s="209"/>
      <c r="EL45" s="209"/>
      <c r="EM45" s="209"/>
      <c r="EN45" s="204"/>
      <c r="EO45" s="204"/>
      <c r="EP45" s="209"/>
      <c r="EQ45" s="209"/>
      <c r="ER45" s="209"/>
      <c r="ES45" s="209"/>
      <c r="ET45" s="209"/>
      <c r="EU45" s="209"/>
      <c r="EV45" s="209"/>
      <c r="EW45" s="209"/>
      <c r="EX45" s="209"/>
      <c r="EY45" s="209"/>
      <c r="EZ45" s="209"/>
      <c r="FA45" s="204"/>
      <c r="FB45" s="204"/>
      <c r="FC45" s="209"/>
      <c r="FD45" s="209"/>
      <c r="FE45" s="209"/>
      <c r="FF45" s="209"/>
      <c r="FG45" s="209"/>
      <c r="FH45" s="209"/>
      <c r="FI45" s="209"/>
      <c r="FJ45" s="209"/>
      <c r="FK45" s="209"/>
      <c r="FL45" s="209"/>
      <c r="FM45" s="209"/>
      <c r="FN45" s="204"/>
      <c r="FO45" s="204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4"/>
      <c r="GB45" s="204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4"/>
      <c r="GO45" s="204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4"/>
      <c r="HB45" s="204"/>
      <c r="HC45" s="209"/>
      <c r="HD45" s="209"/>
      <c r="HE45" s="209"/>
      <c r="HF45" s="209"/>
      <c r="HG45" s="209"/>
      <c r="HH45" s="209"/>
      <c r="HI45" s="209"/>
      <c r="HJ45" s="209"/>
      <c r="HK45" s="209"/>
      <c r="HL45" s="209"/>
      <c r="HM45" s="209"/>
      <c r="HN45" s="204"/>
      <c r="HO45" s="204"/>
      <c r="HP45" s="209"/>
      <c r="HQ45" s="209"/>
      <c r="HR45" s="209"/>
      <c r="HS45" s="209"/>
      <c r="HT45" s="209"/>
      <c r="HU45" s="209"/>
      <c r="HV45" s="209"/>
      <c r="HW45" s="209"/>
      <c r="HX45" s="209"/>
      <c r="HY45" s="209"/>
      <c r="HZ45" s="209"/>
      <c r="IA45" s="204"/>
      <c r="IB45" s="204"/>
      <c r="IC45" s="209"/>
      <c r="ID45" s="209"/>
      <c r="IE45" s="209"/>
      <c r="IF45" s="209"/>
      <c r="IG45" s="209"/>
      <c r="IH45" s="209"/>
      <c r="II45" s="209"/>
      <c r="IJ45" s="209"/>
      <c r="IK45" s="209"/>
      <c r="IL45" s="209"/>
      <c r="IM45" s="209"/>
      <c r="IN45" s="204"/>
      <c r="IO45" s="204"/>
      <c r="IP45" s="209"/>
      <c r="IQ45" s="209"/>
      <c r="IR45" s="209"/>
      <c r="IS45" s="209"/>
      <c r="IT45" s="209"/>
      <c r="IU45" s="209"/>
      <c r="IV45" s="209"/>
    </row>
    <row r="46" spans="1:256" x14ac:dyDescent="0.2">
      <c r="A46" s="215"/>
      <c r="B46" s="21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8"/>
      <c r="N46" s="208"/>
      <c r="O46" s="208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04"/>
      <c r="AB46" s="204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4"/>
      <c r="AO46" s="204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4"/>
      <c r="BB46" s="204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4"/>
      <c r="BO46" s="204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4"/>
      <c r="CB46" s="204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4"/>
      <c r="CO46" s="204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4"/>
      <c r="DB46" s="204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4"/>
      <c r="DO46" s="204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4"/>
      <c r="EB46" s="204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  <c r="EN46" s="204"/>
      <c r="EO46" s="204"/>
      <c r="EP46" s="209"/>
      <c r="EQ46" s="209"/>
      <c r="ER46" s="209"/>
      <c r="ES46" s="209"/>
      <c r="ET46" s="209"/>
      <c r="EU46" s="209"/>
      <c r="EV46" s="209"/>
      <c r="EW46" s="209"/>
      <c r="EX46" s="209"/>
      <c r="EY46" s="209"/>
      <c r="EZ46" s="209"/>
      <c r="FA46" s="204"/>
      <c r="FB46" s="204"/>
      <c r="FC46" s="209"/>
      <c r="FD46" s="209"/>
      <c r="FE46" s="209"/>
      <c r="FF46" s="209"/>
      <c r="FG46" s="209"/>
      <c r="FH46" s="209"/>
      <c r="FI46" s="209"/>
      <c r="FJ46" s="209"/>
      <c r="FK46" s="209"/>
      <c r="FL46" s="209"/>
      <c r="FM46" s="209"/>
      <c r="FN46" s="204"/>
      <c r="FO46" s="204"/>
      <c r="FP46" s="209"/>
      <c r="FQ46" s="209"/>
      <c r="FR46" s="209"/>
      <c r="FS46" s="209"/>
      <c r="FT46" s="209"/>
      <c r="FU46" s="209"/>
      <c r="FV46" s="209"/>
      <c r="FW46" s="209"/>
      <c r="FX46" s="209"/>
      <c r="FY46" s="209"/>
      <c r="FZ46" s="209"/>
      <c r="GA46" s="204"/>
      <c r="GB46" s="204"/>
      <c r="GC46" s="209"/>
      <c r="GD46" s="209"/>
      <c r="GE46" s="209"/>
      <c r="GF46" s="209"/>
      <c r="GG46" s="209"/>
      <c r="GH46" s="209"/>
      <c r="GI46" s="209"/>
      <c r="GJ46" s="209"/>
      <c r="GK46" s="209"/>
      <c r="GL46" s="209"/>
      <c r="GM46" s="209"/>
      <c r="GN46" s="204"/>
      <c r="GO46" s="204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4"/>
      <c r="HB46" s="204"/>
      <c r="HC46" s="209"/>
      <c r="HD46" s="209"/>
      <c r="HE46" s="209"/>
      <c r="HF46" s="209"/>
      <c r="HG46" s="209"/>
      <c r="HH46" s="209"/>
      <c r="HI46" s="209"/>
      <c r="HJ46" s="209"/>
      <c r="HK46" s="209"/>
      <c r="HL46" s="209"/>
      <c r="HM46" s="209"/>
      <c r="HN46" s="204"/>
      <c r="HO46" s="204"/>
      <c r="HP46" s="209"/>
      <c r="HQ46" s="209"/>
      <c r="HR46" s="209"/>
      <c r="HS46" s="209"/>
      <c r="HT46" s="209"/>
      <c r="HU46" s="209"/>
      <c r="HV46" s="209"/>
      <c r="HW46" s="209"/>
      <c r="HX46" s="209"/>
      <c r="HY46" s="209"/>
      <c r="HZ46" s="209"/>
      <c r="IA46" s="204"/>
      <c r="IB46" s="204"/>
      <c r="IC46" s="209"/>
      <c r="ID46" s="209"/>
      <c r="IE46" s="209"/>
      <c r="IF46" s="209"/>
      <c r="IG46" s="209"/>
      <c r="IH46" s="209"/>
      <c r="II46" s="209"/>
      <c r="IJ46" s="209"/>
      <c r="IK46" s="209"/>
      <c r="IL46" s="209"/>
      <c r="IM46" s="209"/>
      <c r="IN46" s="204"/>
      <c r="IO46" s="204"/>
      <c r="IP46" s="209"/>
      <c r="IQ46" s="209"/>
      <c r="IR46" s="209"/>
      <c r="IS46" s="209"/>
      <c r="IT46" s="209"/>
      <c r="IU46" s="209"/>
      <c r="IV46" s="209"/>
    </row>
    <row r="47" spans="1:256" x14ac:dyDescent="0.2">
      <c r="A47" s="215"/>
      <c r="B47" s="21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8"/>
      <c r="N47" s="208"/>
      <c r="O47" s="208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04"/>
      <c r="AB47" s="204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4"/>
      <c r="AO47" s="204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4"/>
      <c r="BB47" s="204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4"/>
      <c r="BO47" s="204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4"/>
      <c r="CB47" s="204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204"/>
      <c r="CO47" s="204"/>
      <c r="CP47" s="209"/>
      <c r="CQ47" s="209"/>
      <c r="CR47" s="209"/>
      <c r="CS47" s="209"/>
      <c r="CT47" s="209"/>
      <c r="CU47" s="209"/>
      <c r="CV47" s="209"/>
      <c r="CW47" s="209"/>
      <c r="CX47" s="209"/>
      <c r="CY47" s="209"/>
      <c r="CZ47" s="209"/>
      <c r="DA47" s="204"/>
      <c r="DB47" s="204"/>
      <c r="DC47" s="209"/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4"/>
      <c r="DO47" s="204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4"/>
      <c r="EB47" s="204"/>
      <c r="EC47" s="209"/>
      <c r="ED47" s="209"/>
      <c r="EE47" s="209"/>
      <c r="EF47" s="209"/>
      <c r="EG47" s="209"/>
      <c r="EH47" s="209"/>
      <c r="EI47" s="209"/>
      <c r="EJ47" s="209"/>
      <c r="EK47" s="209"/>
      <c r="EL47" s="209"/>
      <c r="EM47" s="209"/>
      <c r="EN47" s="204"/>
      <c r="EO47" s="204"/>
      <c r="EP47" s="209"/>
      <c r="EQ47" s="209"/>
      <c r="ER47" s="209"/>
      <c r="ES47" s="209"/>
      <c r="ET47" s="209"/>
      <c r="EU47" s="209"/>
      <c r="EV47" s="209"/>
      <c r="EW47" s="209"/>
      <c r="EX47" s="209"/>
      <c r="EY47" s="209"/>
      <c r="EZ47" s="209"/>
      <c r="FA47" s="204"/>
      <c r="FB47" s="204"/>
      <c r="FC47" s="209"/>
      <c r="FD47" s="209"/>
      <c r="FE47" s="209"/>
      <c r="FF47" s="209"/>
      <c r="FG47" s="209"/>
      <c r="FH47" s="209"/>
      <c r="FI47" s="209"/>
      <c r="FJ47" s="209"/>
      <c r="FK47" s="209"/>
      <c r="FL47" s="209"/>
      <c r="FM47" s="209"/>
      <c r="FN47" s="204"/>
      <c r="FO47" s="204"/>
      <c r="FP47" s="209"/>
      <c r="FQ47" s="209"/>
      <c r="FR47" s="209"/>
      <c r="FS47" s="209"/>
      <c r="FT47" s="209"/>
      <c r="FU47" s="209"/>
      <c r="FV47" s="209"/>
      <c r="FW47" s="209"/>
      <c r="FX47" s="209"/>
      <c r="FY47" s="209"/>
      <c r="FZ47" s="209"/>
      <c r="GA47" s="204"/>
      <c r="GB47" s="204"/>
      <c r="GC47" s="209"/>
      <c r="GD47" s="209"/>
      <c r="GE47" s="209"/>
      <c r="GF47" s="209"/>
      <c r="GG47" s="209"/>
      <c r="GH47" s="209"/>
      <c r="GI47" s="209"/>
      <c r="GJ47" s="209"/>
      <c r="GK47" s="209"/>
      <c r="GL47" s="209"/>
      <c r="GM47" s="209"/>
      <c r="GN47" s="204"/>
      <c r="GO47" s="204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4"/>
      <c r="HB47" s="204"/>
      <c r="HC47" s="209"/>
      <c r="HD47" s="209"/>
      <c r="HE47" s="209"/>
      <c r="HF47" s="209"/>
      <c r="HG47" s="209"/>
      <c r="HH47" s="209"/>
      <c r="HI47" s="209"/>
      <c r="HJ47" s="209"/>
      <c r="HK47" s="209"/>
      <c r="HL47" s="209"/>
      <c r="HM47" s="209"/>
      <c r="HN47" s="204"/>
      <c r="HO47" s="204"/>
      <c r="HP47" s="209"/>
      <c r="HQ47" s="209"/>
      <c r="HR47" s="209"/>
      <c r="HS47" s="209"/>
      <c r="HT47" s="209"/>
      <c r="HU47" s="209"/>
      <c r="HV47" s="209"/>
      <c r="HW47" s="209"/>
      <c r="HX47" s="209"/>
      <c r="HY47" s="209"/>
      <c r="HZ47" s="209"/>
      <c r="IA47" s="204"/>
      <c r="IB47" s="204"/>
      <c r="IC47" s="209"/>
      <c r="ID47" s="209"/>
      <c r="IE47" s="209"/>
      <c r="IF47" s="209"/>
      <c r="IG47" s="209"/>
      <c r="IH47" s="209"/>
      <c r="II47" s="209"/>
      <c r="IJ47" s="209"/>
      <c r="IK47" s="209"/>
      <c r="IL47" s="209"/>
      <c r="IM47" s="209"/>
      <c r="IN47" s="204"/>
      <c r="IO47" s="204"/>
      <c r="IP47" s="209"/>
      <c r="IQ47" s="209"/>
      <c r="IR47" s="209"/>
      <c r="IS47" s="209"/>
      <c r="IT47" s="209"/>
      <c r="IU47" s="209"/>
      <c r="IV47" s="209"/>
    </row>
    <row r="48" spans="1:256" x14ac:dyDescent="0.2">
      <c r="A48" s="215"/>
      <c r="B48" s="21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8"/>
      <c r="N48" s="208"/>
      <c r="O48" s="208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04"/>
      <c r="AB48" s="204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4"/>
      <c r="AO48" s="204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4"/>
      <c r="BB48" s="204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204"/>
      <c r="BO48" s="204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4"/>
      <c r="CB48" s="204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204"/>
      <c r="CO48" s="204"/>
      <c r="CP48" s="209"/>
      <c r="CQ48" s="209"/>
      <c r="CR48" s="209"/>
      <c r="CS48" s="209"/>
      <c r="CT48" s="209"/>
      <c r="CU48" s="209"/>
      <c r="CV48" s="209"/>
      <c r="CW48" s="209"/>
      <c r="CX48" s="209"/>
      <c r="CY48" s="209"/>
      <c r="CZ48" s="209"/>
      <c r="DA48" s="204"/>
      <c r="DB48" s="204"/>
      <c r="DC48" s="209"/>
      <c r="DD48" s="209"/>
      <c r="DE48" s="209"/>
      <c r="DF48" s="209"/>
      <c r="DG48" s="209"/>
      <c r="DH48" s="209"/>
      <c r="DI48" s="209"/>
      <c r="DJ48" s="209"/>
      <c r="DK48" s="209"/>
      <c r="DL48" s="209"/>
      <c r="DM48" s="209"/>
      <c r="DN48" s="204"/>
      <c r="DO48" s="204"/>
      <c r="DP48" s="209"/>
      <c r="DQ48" s="209"/>
      <c r="DR48" s="209"/>
      <c r="DS48" s="209"/>
      <c r="DT48" s="209"/>
      <c r="DU48" s="209"/>
      <c r="DV48" s="209"/>
      <c r="DW48" s="209"/>
      <c r="DX48" s="209"/>
      <c r="DY48" s="209"/>
      <c r="DZ48" s="209"/>
      <c r="EA48" s="204"/>
      <c r="EB48" s="204"/>
      <c r="EC48" s="209"/>
      <c r="ED48" s="209"/>
      <c r="EE48" s="209"/>
      <c r="EF48" s="209"/>
      <c r="EG48" s="209"/>
      <c r="EH48" s="209"/>
      <c r="EI48" s="209"/>
      <c r="EJ48" s="209"/>
      <c r="EK48" s="209"/>
      <c r="EL48" s="209"/>
      <c r="EM48" s="209"/>
      <c r="EN48" s="204"/>
      <c r="EO48" s="204"/>
      <c r="EP48" s="209"/>
      <c r="EQ48" s="209"/>
      <c r="ER48" s="209"/>
      <c r="ES48" s="209"/>
      <c r="ET48" s="209"/>
      <c r="EU48" s="209"/>
      <c r="EV48" s="209"/>
      <c r="EW48" s="209"/>
      <c r="EX48" s="209"/>
      <c r="EY48" s="209"/>
      <c r="EZ48" s="209"/>
      <c r="FA48" s="204"/>
      <c r="FB48" s="204"/>
      <c r="FC48" s="209"/>
      <c r="FD48" s="209"/>
      <c r="FE48" s="209"/>
      <c r="FF48" s="209"/>
      <c r="FG48" s="209"/>
      <c r="FH48" s="209"/>
      <c r="FI48" s="209"/>
      <c r="FJ48" s="209"/>
      <c r="FK48" s="209"/>
      <c r="FL48" s="209"/>
      <c r="FM48" s="209"/>
      <c r="FN48" s="204"/>
      <c r="FO48" s="204"/>
      <c r="FP48" s="209"/>
      <c r="FQ48" s="209"/>
      <c r="FR48" s="209"/>
      <c r="FS48" s="209"/>
      <c r="FT48" s="209"/>
      <c r="FU48" s="209"/>
      <c r="FV48" s="209"/>
      <c r="FW48" s="209"/>
      <c r="FX48" s="209"/>
      <c r="FY48" s="209"/>
      <c r="FZ48" s="209"/>
      <c r="GA48" s="204"/>
      <c r="GB48" s="204"/>
      <c r="GC48" s="209"/>
      <c r="GD48" s="209"/>
      <c r="GE48" s="209"/>
      <c r="GF48" s="209"/>
      <c r="GG48" s="209"/>
      <c r="GH48" s="209"/>
      <c r="GI48" s="209"/>
      <c r="GJ48" s="209"/>
      <c r="GK48" s="209"/>
      <c r="GL48" s="209"/>
      <c r="GM48" s="209"/>
      <c r="GN48" s="204"/>
      <c r="GO48" s="204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4"/>
      <c r="HB48" s="204"/>
      <c r="HC48" s="209"/>
      <c r="HD48" s="209"/>
      <c r="HE48" s="209"/>
      <c r="HF48" s="209"/>
      <c r="HG48" s="209"/>
      <c r="HH48" s="209"/>
      <c r="HI48" s="209"/>
      <c r="HJ48" s="209"/>
      <c r="HK48" s="209"/>
      <c r="HL48" s="209"/>
      <c r="HM48" s="209"/>
      <c r="HN48" s="204"/>
      <c r="HO48" s="204"/>
      <c r="HP48" s="209"/>
      <c r="HQ48" s="209"/>
      <c r="HR48" s="209"/>
      <c r="HS48" s="209"/>
      <c r="HT48" s="209"/>
      <c r="HU48" s="209"/>
      <c r="HV48" s="209"/>
      <c r="HW48" s="209"/>
      <c r="HX48" s="209"/>
      <c r="HY48" s="209"/>
      <c r="HZ48" s="209"/>
      <c r="IA48" s="204"/>
      <c r="IB48" s="204"/>
      <c r="IC48" s="209"/>
      <c r="ID48" s="209"/>
      <c r="IE48" s="209"/>
      <c r="IF48" s="209"/>
      <c r="IG48" s="209"/>
      <c r="IH48" s="209"/>
      <c r="II48" s="209"/>
      <c r="IJ48" s="209"/>
      <c r="IK48" s="209"/>
      <c r="IL48" s="209"/>
      <c r="IM48" s="209"/>
      <c r="IN48" s="204"/>
      <c r="IO48" s="204"/>
      <c r="IP48" s="209"/>
      <c r="IQ48" s="209"/>
      <c r="IR48" s="209"/>
      <c r="IS48" s="209"/>
      <c r="IT48" s="209"/>
      <c r="IU48" s="209"/>
      <c r="IV48" s="209"/>
    </row>
    <row r="49" spans="1:256" x14ac:dyDescent="0.2">
      <c r="A49" s="215"/>
      <c r="B49" s="21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8"/>
      <c r="N49" s="208"/>
      <c r="O49" s="208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04"/>
      <c r="AB49" s="204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4"/>
      <c r="AO49" s="204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4"/>
      <c r="BB49" s="204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204"/>
      <c r="BO49" s="204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4"/>
      <c r="CB49" s="204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204"/>
      <c r="CO49" s="204"/>
      <c r="CP49" s="209"/>
      <c r="CQ49" s="209"/>
      <c r="CR49" s="209"/>
      <c r="CS49" s="209"/>
      <c r="CT49" s="209"/>
      <c r="CU49" s="209"/>
      <c r="CV49" s="209"/>
      <c r="CW49" s="209"/>
      <c r="CX49" s="209"/>
      <c r="CY49" s="209"/>
      <c r="CZ49" s="209"/>
      <c r="DA49" s="204"/>
      <c r="DB49" s="204"/>
      <c r="DC49" s="209"/>
      <c r="DD49" s="209"/>
      <c r="DE49" s="209"/>
      <c r="DF49" s="209"/>
      <c r="DG49" s="209"/>
      <c r="DH49" s="209"/>
      <c r="DI49" s="209"/>
      <c r="DJ49" s="209"/>
      <c r="DK49" s="209"/>
      <c r="DL49" s="209"/>
      <c r="DM49" s="209"/>
      <c r="DN49" s="204"/>
      <c r="DO49" s="204"/>
      <c r="DP49" s="209"/>
      <c r="DQ49" s="209"/>
      <c r="DR49" s="209"/>
      <c r="DS49" s="209"/>
      <c r="DT49" s="209"/>
      <c r="DU49" s="209"/>
      <c r="DV49" s="209"/>
      <c r="DW49" s="209"/>
      <c r="DX49" s="209"/>
      <c r="DY49" s="209"/>
      <c r="DZ49" s="209"/>
      <c r="EA49" s="204"/>
      <c r="EB49" s="204"/>
      <c r="EC49" s="209"/>
      <c r="ED49" s="209"/>
      <c r="EE49" s="209"/>
      <c r="EF49" s="209"/>
      <c r="EG49" s="209"/>
      <c r="EH49" s="209"/>
      <c r="EI49" s="209"/>
      <c r="EJ49" s="209"/>
      <c r="EK49" s="209"/>
      <c r="EL49" s="209"/>
      <c r="EM49" s="209"/>
      <c r="EN49" s="204"/>
      <c r="EO49" s="204"/>
      <c r="EP49" s="209"/>
      <c r="EQ49" s="209"/>
      <c r="ER49" s="209"/>
      <c r="ES49" s="209"/>
      <c r="ET49" s="209"/>
      <c r="EU49" s="209"/>
      <c r="EV49" s="209"/>
      <c r="EW49" s="209"/>
      <c r="EX49" s="209"/>
      <c r="EY49" s="209"/>
      <c r="EZ49" s="209"/>
      <c r="FA49" s="204"/>
      <c r="FB49" s="204"/>
      <c r="FC49" s="209"/>
      <c r="FD49" s="209"/>
      <c r="FE49" s="209"/>
      <c r="FF49" s="209"/>
      <c r="FG49" s="209"/>
      <c r="FH49" s="209"/>
      <c r="FI49" s="209"/>
      <c r="FJ49" s="209"/>
      <c r="FK49" s="209"/>
      <c r="FL49" s="209"/>
      <c r="FM49" s="209"/>
      <c r="FN49" s="204"/>
      <c r="FO49" s="204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4"/>
      <c r="GB49" s="204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4"/>
      <c r="GO49" s="204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4"/>
      <c r="HB49" s="204"/>
      <c r="HC49" s="209"/>
      <c r="HD49" s="209"/>
      <c r="HE49" s="209"/>
      <c r="HF49" s="209"/>
      <c r="HG49" s="209"/>
      <c r="HH49" s="209"/>
      <c r="HI49" s="209"/>
      <c r="HJ49" s="209"/>
      <c r="HK49" s="209"/>
      <c r="HL49" s="209"/>
      <c r="HM49" s="209"/>
      <c r="HN49" s="204"/>
      <c r="HO49" s="204"/>
      <c r="HP49" s="209"/>
      <c r="HQ49" s="209"/>
      <c r="HR49" s="209"/>
      <c r="HS49" s="209"/>
      <c r="HT49" s="209"/>
      <c r="HU49" s="209"/>
      <c r="HV49" s="209"/>
      <c r="HW49" s="209"/>
      <c r="HX49" s="209"/>
      <c r="HY49" s="209"/>
      <c r="HZ49" s="209"/>
      <c r="IA49" s="204"/>
      <c r="IB49" s="204"/>
      <c r="IC49" s="209"/>
      <c r="ID49" s="209"/>
      <c r="IE49" s="209"/>
      <c r="IF49" s="209"/>
      <c r="IG49" s="209"/>
      <c r="IH49" s="209"/>
      <c r="II49" s="209"/>
      <c r="IJ49" s="209"/>
      <c r="IK49" s="209"/>
      <c r="IL49" s="209"/>
      <c r="IM49" s="209"/>
      <c r="IN49" s="204"/>
      <c r="IO49" s="204"/>
      <c r="IP49" s="209"/>
      <c r="IQ49" s="209"/>
      <c r="IR49" s="209"/>
      <c r="IS49" s="209"/>
      <c r="IT49" s="209"/>
      <c r="IU49" s="209"/>
      <c r="IV49" s="209"/>
    </row>
    <row r="50" spans="1:256" x14ac:dyDescent="0.2">
      <c r="A50" s="215"/>
      <c r="B50" s="21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8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5"/>
      <c r="B51" s="21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8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5"/>
      <c r="B52" s="21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8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5"/>
      <c r="B53" s="21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8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5"/>
      <c r="B54" s="21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8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5"/>
      <c r="B55" s="21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8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5"/>
      <c r="B56" s="21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8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5"/>
      <c r="B57" s="21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8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5"/>
      <c r="B58" s="21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8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5"/>
      <c r="B59" s="21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8"/>
    </row>
    <row r="60" spans="1:256" x14ac:dyDescent="0.2">
      <c r="A60" s="215"/>
      <c r="B60" s="21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8"/>
    </row>
    <row r="61" spans="1:256" x14ac:dyDescent="0.2">
      <c r="A61" s="215"/>
      <c r="B61" s="21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8"/>
    </row>
    <row r="62" spans="1:256" x14ac:dyDescent="0.2">
      <c r="A62" s="215"/>
      <c r="B62" s="21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8"/>
    </row>
    <row r="63" spans="1:256" x14ac:dyDescent="0.2">
      <c r="A63" s="215"/>
      <c r="B63" s="21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8"/>
    </row>
    <row r="64" spans="1:256" x14ac:dyDescent="0.2">
      <c r="A64" s="215"/>
      <c r="B64" s="21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8"/>
    </row>
    <row r="65" spans="1:13" x14ac:dyDescent="0.2">
      <c r="A65" s="215"/>
      <c r="B65" s="21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8"/>
    </row>
    <row r="66" spans="1:13" x14ac:dyDescent="0.2">
      <c r="A66" s="215"/>
      <c r="B66" s="216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8"/>
    </row>
    <row r="67" spans="1:13" x14ac:dyDescent="0.2">
      <c r="A67" s="215"/>
      <c r="B67" s="216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8"/>
    </row>
    <row r="68" spans="1:13" x14ac:dyDescent="0.2">
      <c r="A68" s="215"/>
      <c r="B68" s="216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8"/>
    </row>
    <row r="69" spans="1:13" x14ac:dyDescent="0.2">
      <c r="A69" s="215"/>
      <c r="B69" s="216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8"/>
    </row>
    <row r="70" spans="1:13" ht="12" thickBot="1" x14ac:dyDescent="0.25">
      <c r="A70" s="217"/>
      <c r="B70" s="218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5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</row>
    <row r="72" spans="1:13" ht="12.75" x14ac:dyDescent="0.2">
      <c r="A72" s="293" t="s">
        <v>848</v>
      </c>
      <c r="B72" s="293"/>
      <c r="C72" s="293"/>
      <c r="D72" s="293"/>
      <c r="E72" s="293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7" t="s">
        <v>768</v>
      </c>
      <c r="B73" s="207" t="s">
        <v>769</v>
      </c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</row>
    <row r="74" spans="1:13" x14ac:dyDescent="0.2">
      <c r="A74" s="208"/>
      <c r="B74" s="208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</row>
    <row r="75" spans="1:13" x14ac:dyDescent="0.2">
      <c r="A75" s="208"/>
      <c r="B75" s="208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</row>
    <row r="76" spans="1:13" x14ac:dyDescent="0.2">
      <c r="A76" s="208"/>
      <c r="B76" s="208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</row>
    <row r="77" spans="1:13" x14ac:dyDescent="0.2">
      <c r="A77" s="208"/>
      <c r="B77" s="208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</row>
    <row r="78" spans="1:13" x14ac:dyDescent="0.2">
      <c r="A78" s="208"/>
      <c r="B78" s="208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</row>
    <row r="79" spans="1:13" x14ac:dyDescent="0.2">
      <c r="A79" s="208"/>
      <c r="B79" s="208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</row>
    <row r="80" spans="1:13" x14ac:dyDescent="0.2">
      <c r="A80" s="208"/>
      <c r="B80" s="208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</row>
    <row r="81" spans="1:13" x14ac:dyDescent="0.2">
      <c r="A81" s="208"/>
      <c r="B81" s="208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</row>
    <row r="82" spans="1:13" x14ac:dyDescent="0.2">
      <c r="A82" s="208"/>
      <c r="B82" s="208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</row>
    <row r="83" spans="1:13" x14ac:dyDescent="0.2">
      <c r="A83" s="208"/>
      <c r="B83" s="208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</row>
    <row r="84" spans="1:13" x14ac:dyDescent="0.2">
      <c r="A84" s="208"/>
      <c r="B84" s="208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290"/>
    </row>
    <row r="85" spans="1:13" x14ac:dyDescent="0.2">
      <c r="A85" s="208"/>
      <c r="B85" s="208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</row>
    <row r="86" spans="1:13" x14ac:dyDescent="0.2">
      <c r="A86" s="208"/>
      <c r="B86" s="208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</row>
    <row r="87" spans="1:13" x14ac:dyDescent="0.2">
      <c r="A87" s="208"/>
      <c r="B87" s="208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</row>
    <row r="88" spans="1:13" x14ac:dyDescent="0.2">
      <c r="A88" s="208"/>
      <c r="B88" s="208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</row>
    <row r="89" spans="1:13" x14ac:dyDescent="0.2">
      <c r="A89" s="208"/>
      <c r="B89" s="208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</row>
    <row r="90" spans="1:13" x14ac:dyDescent="0.2">
      <c r="A90" s="208"/>
      <c r="B90" s="208"/>
      <c r="C90" s="290"/>
      <c r="D90" s="290"/>
      <c r="E90" s="290"/>
      <c r="F90" s="290"/>
      <c r="G90" s="290"/>
      <c r="H90" s="290"/>
      <c r="I90" s="290"/>
      <c r="J90" s="290"/>
      <c r="K90" s="290"/>
      <c r="L90" s="290"/>
      <c r="M90" s="290"/>
    </row>
  </sheetData>
  <sheetProtection password="BF0A" sheet="1" objects="1" scenarios="1"/>
  <mergeCells count="223">
    <mergeCell ref="C90:M90"/>
    <mergeCell ref="C21:M21"/>
    <mergeCell ref="C22:M22"/>
    <mergeCell ref="C23:M23"/>
    <mergeCell ref="C24:M24"/>
    <mergeCell ref="C29:M29"/>
    <mergeCell ref="C25:M25"/>
    <mergeCell ref="C81:M81"/>
    <mergeCell ref="C82:M82"/>
    <mergeCell ref="C83:M83"/>
    <mergeCell ref="C84:M84"/>
    <mergeCell ref="C85:M85"/>
    <mergeCell ref="C86:M86"/>
    <mergeCell ref="C87:M87"/>
    <mergeCell ref="C88:M88"/>
    <mergeCell ref="C89:M89"/>
    <mergeCell ref="A72:E72"/>
    <mergeCell ref="C73:M73"/>
    <mergeCell ref="C74:M74"/>
    <mergeCell ref="C75:M75"/>
    <mergeCell ref="C76:M76"/>
    <mergeCell ref="C77:M77"/>
    <mergeCell ref="C78:M78"/>
    <mergeCell ref="C79:M79"/>
    <mergeCell ref="C80:M80"/>
    <mergeCell ref="C62:M62"/>
    <mergeCell ref="C63:M63"/>
    <mergeCell ref="C64:M64"/>
    <mergeCell ref="C65:M65"/>
    <mergeCell ref="C66:M66"/>
    <mergeCell ref="C67:M67"/>
    <mergeCell ref="C68:M68"/>
    <mergeCell ref="C69:M69"/>
    <mergeCell ref="C70:M70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46:M46"/>
    <mergeCell ref="C44:M44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30:M30"/>
    <mergeCell ref="C31:M31"/>
    <mergeCell ref="P31:Z31"/>
    <mergeCell ref="AC31:AM31"/>
    <mergeCell ref="AP31:AZ31"/>
    <mergeCell ref="P32:Z32"/>
    <mergeCell ref="A1:I1"/>
    <mergeCell ref="C3:M3"/>
    <mergeCell ref="C4:M4"/>
    <mergeCell ref="F2:I2"/>
    <mergeCell ref="A2:E2"/>
    <mergeCell ref="C13:M13"/>
    <mergeCell ref="C27:M27"/>
    <mergeCell ref="C28:M28"/>
    <mergeCell ref="C14:M14"/>
    <mergeCell ref="C15:M15"/>
    <mergeCell ref="C16:M16"/>
    <mergeCell ref="C17:M17"/>
    <mergeCell ref="C18:M18"/>
    <mergeCell ref="C19:M19"/>
    <mergeCell ref="C26:M26"/>
    <mergeCell ref="C20:M20"/>
    <mergeCell ref="BC29:BM29"/>
    <mergeCell ref="BP29:BZ29"/>
    <mergeCell ref="CC29:CM29"/>
    <mergeCell ref="C5:M5"/>
    <mergeCell ref="C6:M6"/>
    <mergeCell ref="C7:M7"/>
    <mergeCell ref="C8:M8"/>
    <mergeCell ref="C9:M9"/>
    <mergeCell ref="C10:M10"/>
    <mergeCell ref="C11:M11"/>
    <mergeCell ref="C12:M12"/>
    <mergeCell ref="P29:Z29"/>
    <mergeCell ref="AC29:AM29"/>
    <mergeCell ref="AP29:AZ29"/>
    <mergeCell ref="P38:Z38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GP29:GZ29"/>
    <mergeCell ref="HC29:HM29"/>
    <mergeCell ref="CP29:CZ29"/>
    <mergeCell ref="DC29:DM29"/>
    <mergeCell ref="DP29:DZ29"/>
    <mergeCell ref="EC29:EM29"/>
    <mergeCell ref="HP29:HZ29"/>
    <mergeCell ref="IC29:IM29"/>
    <mergeCell ref="EP29:EZ29"/>
    <mergeCell ref="FC29:FM29"/>
    <mergeCell ref="FP29:FZ29"/>
    <mergeCell ref="GC29:GM29"/>
    <mergeCell ref="C32:M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CC30:CM30"/>
    <mergeCell ref="CP30:CZ30"/>
    <mergeCell ref="DC30:DM30"/>
    <mergeCell ref="DP30:DZ30"/>
    <mergeCell ref="BC30:BM30"/>
    <mergeCell ref="BP30:BZ30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BP32:BZ32"/>
    <mergeCell ref="BC38:BM38"/>
    <mergeCell ref="AC32:AM32"/>
    <mergeCell ref="AP32:AZ32"/>
    <mergeCell ref="FP32:FZ32"/>
    <mergeCell ref="GC32:GM32"/>
    <mergeCell ref="GC38:GM38"/>
    <mergeCell ref="DC38:DM38"/>
    <mergeCell ref="DP38:DZ38"/>
    <mergeCell ref="EC38:EM38"/>
    <mergeCell ref="EP38:EZ38"/>
    <mergeCell ref="FC38:FM38"/>
    <mergeCell ref="FP38:FZ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HC38:HM38"/>
    <mergeCell ref="HP38:HZ38"/>
    <mergeCell ref="IC38:IM38"/>
    <mergeCell ref="GC40:GM40"/>
    <mergeCell ref="GP40:GZ40"/>
    <mergeCell ref="HC40:HM40"/>
    <mergeCell ref="HP40:HZ40"/>
    <mergeCell ref="EC40:EM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BC40:BM40"/>
    <mergeCell ref="BP40:BZ40"/>
    <mergeCell ref="C40:M40"/>
    <mergeCell ref="P40:Z40"/>
    <mergeCell ref="AC40:AM40"/>
    <mergeCell ref="IC40:IM40"/>
    <mergeCell ref="IP40:IV40"/>
    <mergeCell ref="C45:M45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2012-10-15T13:00:41Z</cp:lastPrinted>
  <dcterms:created xsi:type="dcterms:W3CDTF">1997-12-04T19:04:30Z</dcterms:created>
  <dcterms:modified xsi:type="dcterms:W3CDTF">2012-11-21T14:57:06Z</dcterms:modified>
</cp:coreProperties>
</file>