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94" i="1" l="1"/>
  <c r="F295" i="1"/>
  <c r="G522" i="1"/>
  <c r="G521" i="1"/>
  <c r="G520" i="1"/>
  <c r="G532" i="1"/>
  <c r="G531" i="1"/>
  <c r="G530" i="1"/>
  <c r="G527" i="1"/>
  <c r="G526" i="1"/>
  <c r="G525" i="1"/>
  <c r="K527" i="1" l="1"/>
  <c r="K526" i="1"/>
  <c r="K525" i="1"/>
  <c r="I527" i="1"/>
  <c r="I526" i="1"/>
  <c r="I525" i="1"/>
  <c r="H527" i="1"/>
  <c r="H526" i="1"/>
  <c r="H525" i="1"/>
  <c r="F527" i="1"/>
  <c r="F526" i="1"/>
  <c r="F525" i="1"/>
  <c r="J520" i="1"/>
  <c r="I522" i="1"/>
  <c r="I521" i="1"/>
  <c r="I520" i="1"/>
  <c r="H522" i="1"/>
  <c r="H521" i="1"/>
  <c r="H520" i="1"/>
  <c r="F522" i="1"/>
  <c r="F521" i="1"/>
  <c r="F520" i="1"/>
  <c r="I532" i="1"/>
  <c r="I531" i="1"/>
  <c r="I530" i="1"/>
  <c r="H532" i="1"/>
  <c r="H531" i="1"/>
  <c r="H530" i="1"/>
  <c r="F532" i="1"/>
  <c r="F531" i="1"/>
  <c r="F530" i="1"/>
  <c r="J522" i="1"/>
  <c r="J521" i="1"/>
  <c r="K520" i="1"/>
  <c r="J603" i="1"/>
  <c r="I603" i="1"/>
  <c r="H603" i="1"/>
  <c r="J300" i="1"/>
  <c r="J281" i="1"/>
  <c r="J276" i="1"/>
  <c r="I319" i="1"/>
  <c r="I300" i="1"/>
  <c r="I281" i="1"/>
  <c r="F281" i="1"/>
  <c r="J314" i="1"/>
  <c r="J295" i="1"/>
  <c r="I314" i="1"/>
  <c r="I295" i="1"/>
  <c r="I276" i="1"/>
  <c r="F610" i="1" l="1"/>
  <c r="J594" i="1"/>
  <c r="I566" i="1"/>
  <c r="I567" i="1"/>
  <c r="F567" i="1"/>
  <c r="F566" i="1"/>
  <c r="H566" i="1"/>
  <c r="F197" i="1"/>
  <c r="F215" i="1"/>
  <c r="F233" i="1"/>
  <c r="I232" i="1"/>
  <c r="H197" i="1"/>
  <c r="I196" i="1"/>
  <c r="H207" i="1"/>
  <c r="H581" i="1"/>
  <c r="G581" i="1"/>
  <c r="G237" i="1" l="1"/>
  <c r="G238" i="1"/>
  <c r="G220" i="1"/>
  <c r="G202" i="1"/>
  <c r="H241" i="1"/>
  <c r="H243" i="1"/>
  <c r="J242" i="1"/>
  <c r="I242" i="1"/>
  <c r="H242" i="1"/>
  <c r="H240" i="1"/>
  <c r="I238" i="1"/>
  <c r="H238" i="1"/>
  <c r="K237" i="1"/>
  <c r="I237" i="1"/>
  <c r="H237" i="1"/>
  <c r="I250" i="1"/>
  <c r="J235" i="1"/>
  <c r="I235" i="1"/>
  <c r="I233" i="1"/>
  <c r="H233" i="1"/>
  <c r="J232" i="1"/>
  <c r="H232" i="1"/>
  <c r="I224" i="1"/>
  <c r="H225" i="1"/>
  <c r="J224" i="1"/>
  <c r="H224" i="1"/>
  <c r="H222" i="1"/>
  <c r="I220" i="1"/>
  <c r="H220" i="1"/>
  <c r="K219" i="1"/>
  <c r="I219" i="1"/>
  <c r="H219" i="1"/>
  <c r="I217" i="1"/>
  <c r="I215" i="1"/>
  <c r="H215" i="1"/>
  <c r="I214" i="1"/>
  <c r="H214" i="1"/>
  <c r="H196" i="1"/>
  <c r="J206" i="1"/>
  <c r="I206" i="1"/>
  <c r="H206" i="1"/>
  <c r="H204" i="1"/>
  <c r="I202" i="1"/>
  <c r="H202" i="1"/>
  <c r="K201" i="1"/>
  <c r="I201" i="1"/>
  <c r="K197" i="1"/>
  <c r="I197" i="1"/>
  <c r="H234" i="1"/>
  <c r="I240" i="1" l="1"/>
  <c r="K235" i="1"/>
  <c r="H235" i="1"/>
  <c r="J214" i="1"/>
  <c r="J196" i="1" l="1"/>
  <c r="F242" i="1"/>
  <c r="F240" i="1"/>
  <c r="F238" i="1"/>
  <c r="F237" i="1"/>
  <c r="F235" i="1"/>
  <c r="F232" i="1"/>
  <c r="F224" i="1"/>
  <c r="F222" i="1"/>
  <c r="F220" i="1"/>
  <c r="F219" i="1"/>
  <c r="F217" i="1"/>
  <c r="F214" i="1"/>
  <c r="F206" i="1"/>
  <c r="F204" i="1"/>
  <c r="F202" i="1"/>
  <c r="F201" i="1"/>
  <c r="F199" i="1"/>
  <c r="F196" i="1"/>
  <c r="G160" i="1"/>
  <c r="K359" i="1" l="1"/>
  <c r="I358" i="1"/>
  <c r="F359" i="1"/>
  <c r="F358" i="1"/>
  <c r="F357" i="1"/>
  <c r="F314" i="1"/>
  <c r="F276" i="1"/>
  <c r="F280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21" i="2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C12" i="10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G650" i="1" s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L359" i="1"/>
  <c r="F660" i="1" s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C84" i="2" s="1"/>
  <c r="F161" i="1"/>
  <c r="G146" i="1"/>
  <c r="D84" i="2" s="1"/>
  <c r="G161" i="1"/>
  <c r="H146" i="1"/>
  <c r="H161" i="1"/>
  <c r="I146" i="1"/>
  <c r="I161" i="1"/>
  <c r="L249" i="1"/>
  <c r="L331" i="1"/>
  <c r="E112" i="2" s="1"/>
  <c r="L253" i="1"/>
  <c r="C25" i="10"/>
  <c r="L267" i="1"/>
  <c r="L268" i="1"/>
  <c r="L348" i="1"/>
  <c r="L349" i="1"/>
  <c r="I664" i="1"/>
  <c r="I669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D102" i="2" s="1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3" i="2"/>
  <c r="D114" i="2"/>
  <c r="F114" i="2"/>
  <c r="G114" i="2"/>
  <c r="E119" i="2"/>
  <c r="E120" i="2"/>
  <c r="E121" i="2"/>
  <c r="E122" i="2"/>
  <c r="E123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H50" i="1"/>
  <c r="G623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H445" i="1"/>
  <c r="I445" i="1"/>
  <c r="F451" i="1"/>
  <c r="G451" i="1"/>
  <c r="H451" i="1"/>
  <c r="I451" i="1"/>
  <c r="F459" i="1"/>
  <c r="F460" i="1" s="1"/>
  <c r="H638" i="1" s="1"/>
  <c r="G459" i="1"/>
  <c r="H459" i="1"/>
  <c r="I459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J619" i="1" s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H639" i="1"/>
  <c r="G640" i="1"/>
  <c r="H640" i="1"/>
  <c r="G641" i="1"/>
  <c r="G642" i="1"/>
  <c r="H642" i="1"/>
  <c r="G643" i="1"/>
  <c r="G651" i="1"/>
  <c r="H651" i="1"/>
  <c r="G652" i="1"/>
  <c r="H652" i="1"/>
  <c r="J652" i="1" s="1"/>
  <c r="G653" i="1"/>
  <c r="H653" i="1"/>
  <c r="J653" i="1" s="1"/>
  <c r="H654" i="1"/>
  <c r="F191" i="1"/>
  <c r="G163" i="2"/>
  <c r="F31" i="2"/>
  <c r="C26" i="10"/>
  <c r="L350" i="1"/>
  <c r="A31" i="12"/>
  <c r="A40" i="12"/>
  <c r="E49" i="2"/>
  <c r="D18" i="13"/>
  <c r="C18" i="13" s="1"/>
  <c r="F102" i="2"/>
  <c r="E18" i="2"/>
  <c r="G80" i="2"/>
  <c r="F77" i="2"/>
  <c r="F80" i="2" s="1"/>
  <c r="F61" i="2"/>
  <c r="F62" i="2" s="1"/>
  <c r="D31" i="2"/>
  <c r="D49" i="2"/>
  <c r="D50" i="2" s="1"/>
  <c r="G156" i="2"/>
  <c r="F49" i="2"/>
  <c r="F50" i="2" s="1"/>
  <c r="F18" i="2"/>
  <c r="G162" i="2"/>
  <c r="G157" i="2"/>
  <c r="E143" i="2"/>
  <c r="E102" i="2"/>
  <c r="C102" i="2"/>
  <c r="F90" i="2"/>
  <c r="E61" i="2"/>
  <c r="E62" i="2" s="1"/>
  <c r="E31" i="2"/>
  <c r="C31" i="2"/>
  <c r="G61" i="2"/>
  <c r="D19" i="13"/>
  <c r="C19" i="13" s="1"/>
  <c r="L523" i="1" l="1"/>
  <c r="L528" i="1"/>
  <c r="L533" i="1"/>
  <c r="F544" i="1"/>
  <c r="L327" i="1"/>
  <c r="I337" i="1"/>
  <c r="I351" i="1" s="1"/>
  <c r="G570" i="1"/>
  <c r="L543" i="1"/>
  <c r="I662" i="1"/>
  <c r="D17" i="13"/>
  <c r="C17" i="13" s="1"/>
  <c r="J651" i="1"/>
  <c r="C32" i="10"/>
  <c r="C119" i="2"/>
  <c r="L255" i="1"/>
  <c r="C13" i="10"/>
  <c r="C17" i="10"/>
  <c r="F661" i="1"/>
  <c r="I661" i="1" s="1"/>
  <c r="K256" i="1"/>
  <c r="K270" i="1" s="1"/>
  <c r="D7" i="13"/>
  <c r="C7" i="13" s="1"/>
  <c r="G256" i="1"/>
  <c r="G270" i="1" s="1"/>
  <c r="C110" i="2"/>
  <c r="D15" i="13"/>
  <c r="C15" i="13" s="1"/>
  <c r="G649" i="1"/>
  <c r="J649" i="1" s="1"/>
  <c r="C21" i="10"/>
  <c r="H646" i="1"/>
  <c r="I256" i="1"/>
  <c r="I270" i="1" s="1"/>
  <c r="D6" i="13"/>
  <c r="C6" i="13" s="1"/>
  <c r="J648" i="1"/>
  <c r="C123" i="2"/>
  <c r="C122" i="2"/>
  <c r="E13" i="13"/>
  <c r="C13" i="13" s="1"/>
  <c r="C124" i="2"/>
  <c r="C20" i="10"/>
  <c r="C19" i="10"/>
  <c r="E8" i="13"/>
  <c r="C8" i="13" s="1"/>
  <c r="D14" i="13"/>
  <c r="C14" i="13" s="1"/>
  <c r="D12" i="13"/>
  <c r="C12" i="13" s="1"/>
  <c r="C15" i="10"/>
  <c r="C117" i="2"/>
  <c r="C111" i="2"/>
  <c r="F256" i="1"/>
  <c r="F270" i="1" s="1"/>
  <c r="L246" i="1"/>
  <c r="H659" i="1" s="1"/>
  <c r="C120" i="2"/>
  <c r="C18" i="10"/>
  <c r="L228" i="1"/>
  <c r="C118" i="2"/>
  <c r="A22" i="12"/>
  <c r="L210" i="1"/>
  <c r="G168" i="1"/>
  <c r="C61" i="2"/>
  <c r="C62" i="2" s="1"/>
  <c r="C108" i="2"/>
  <c r="G159" i="2"/>
  <c r="G160" i="2"/>
  <c r="G161" i="2"/>
  <c r="K502" i="1"/>
  <c r="I368" i="1"/>
  <c r="H633" i="1" s="1"/>
  <c r="J633" i="1" s="1"/>
  <c r="G33" i="13"/>
  <c r="G660" i="1"/>
  <c r="L361" i="1"/>
  <c r="C27" i="10" s="1"/>
  <c r="C77" i="2"/>
  <c r="H660" i="1"/>
  <c r="D126" i="2"/>
  <c r="D127" i="2" s="1"/>
  <c r="D144" i="2" s="1"/>
  <c r="D29" i="13"/>
  <c r="C29" i="13" s="1"/>
  <c r="C10" i="10"/>
  <c r="C24" i="10"/>
  <c r="E108" i="2"/>
  <c r="E117" i="2"/>
  <c r="J337" i="1"/>
  <c r="J351" i="1" s="1"/>
  <c r="F31" i="13"/>
  <c r="C16" i="10"/>
  <c r="E109" i="2"/>
  <c r="E118" i="2"/>
  <c r="C11" i="10"/>
  <c r="L289" i="1"/>
  <c r="G644" i="1"/>
  <c r="D90" i="2"/>
  <c r="F139" i="1"/>
  <c r="C90" i="2"/>
  <c r="J641" i="1"/>
  <c r="H51" i="1"/>
  <c r="H618" i="1" s="1"/>
  <c r="J618" i="1" s="1"/>
  <c r="G51" i="1"/>
  <c r="H617" i="1" s="1"/>
  <c r="D18" i="2"/>
  <c r="G621" i="1"/>
  <c r="J616" i="1"/>
  <c r="C18" i="2"/>
  <c r="C80" i="2"/>
  <c r="E77" i="2"/>
  <c r="E80" i="2" s="1"/>
  <c r="F103" i="2"/>
  <c r="L426" i="1"/>
  <c r="J256" i="1"/>
  <c r="J270" i="1" s="1"/>
  <c r="H111" i="1"/>
  <c r="H192" i="1" s="1"/>
  <c r="G628" i="1" s="1"/>
  <c r="J628" i="1" s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50" i="1"/>
  <c r="J639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G544" i="1"/>
  <c r="H544" i="1"/>
  <c r="K550" i="1"/>
  <c r="F143" i="2"/>
  <c r="F144" i="2" s="1"/>
  <c r="L544" i="1" l="1"/>
  <c r="L570" i="1"/>
  <c r="K551" i="1"/>
  <c r="J646" i="1"/>
  <c r="C127" i="2"/>
  <c r="C114" i="2"/>
  <c r="L256" i="1"/>
  <c r="L270" i="1" s="1"/>
  <c r="G631" i="1" s="1"/>
  <c r="J631" i="1" s="1"/>
  <c r="F659" i="1"/>
  <c r="F663" i="1" s="1"/>
  <c r="F671" i="1" s="1"/>
  <c r="C4" i="10" s="1"/>
  <c r="F192" i="1"/>
  <c r="G626" i="1" s="1"/>
  <c r="J626" i="1" s="1"/>
  <c r="H663" i="1"/>
  <c r="H666" i="1" s="1"/>
  <c r="I660" i="1"/>
  <c r="G634" i="1"/>
  <c r="J634" i="1" s="1"/>
  <c r="C38" i="10"/>
  <c r="E114" i="2"/>
  <c r="E127" i="2"/>
  <c r="H647" i="1"/>
  <c r="J647" i="1" s="1"/>
  <c r="C28" i="10"/>
  <c r="C30" i="10" s="1"/>
  <c r="C36" i="10"/>
  <c r="C103" i="2"/>
  <c r="C39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E144" i="2" l="1"/>
  <c r="C144" i="2"/>
  <c r="F666" i="1"/>
  <c r="H671" i="1"/>
  <c r="C6" i="10" s="1"/>
  <c r="D15" i="10"/>
  <c r="D25" i="10"/>
  <c r="D12" i="10"/>
  <c r="D13" i="10"/>
  <c r="D17" i="10"/>
  <c r="D21" i="10"/>
  <c r="D20" i="10"/>
  <c r="D24" i="10"/>
  <c r="D23" i="10"/>
  <c r="D16" i="10"/>
  <c r="D11" i="10"/>
  <c r="D18" i="10"/>
  <c r="D22" i="10"/>
  <c r="D19" i="10"/>
  <c r="D10" i="10"/>
  <c r="D26" i="10"/>
  <c r="D27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40" i="10"/>
  <c r="D36" i="10"/>
  <c r="D28" i="10"/>
  <c r="D35" i="10"/>
  <c r="D37" i="10"/>
  <c r="D38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<sst xmlns="http://schemas.openxmlformats.org/spreadsheetml/2006/main" count="3956" uniqueCount="923">
  <si>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</si>
  <si>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</si>
  <si>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</si>
  <si>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</si>
  <si>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</si>
  <si>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</si>
  <si>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</si>
  <si>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</si>
  <si>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</si>
  <si>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</si>
  <si>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</si>
  <si>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</si>
  <si>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</si>
  <si>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</si>
  <si>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</si>
  <si>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</si>
  <si>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</si>
  <si>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</si>
  <si>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</si>
  <si>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</si>
  <si>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</si>
  <si>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</si>
  <si>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</si>
  <si>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</si>
  <si>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</si>
  <si>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</si>
  <si>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</si>
  <si>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</si>
  <si>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</si>
  <si>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</si>
  <si>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</si>
  <si>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</si>
  <si>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</si>
  <si>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</si>
  <si>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</si>
  <si>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</si>
  <si>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</si>
  <si>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</si>
  <si>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</si>
  <si>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</si>
  <si>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</si>
  <si>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</si>
  <si>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</si>
  <si>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</si>
  <si>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</si>
  <si>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</si>
  <si>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</si>
  <si>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</si>
  <si>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</si>
  <si>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</si>
  <si>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</si>
  <si>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</si>
  <si>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</si>
  <si>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</si>
  <si>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</si>
  <si>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</si>
  <si>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</si>
  <si>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</si>
  <si>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</si>
  <si>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</si>
  <si>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</si>
  <si>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</si>
  <si>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</si>
  <si>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</si>
  <si>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</si>
  <si>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</si>
  <si>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</si>
  <si>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</si>
  <si>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</si>
  <si>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</si>
  <si>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</si>
  <si>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</si>
  <si>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</si>
  <si>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</si>
  <si>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</si>
  <si>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</si>
  <si>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</si>
  <si>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</si>
  <si>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</si>
  <si>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</si>
  <si>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</si>
  <si>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</si>
  <si>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</si>
  <si>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</si>
  <si>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</si>
  <si>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</si>
  <si>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</si>
  <si>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</si>
  <si>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</si>
  <si>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</si>
  <si>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</si>
  <si>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</si>
  <si>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</si>
  <si>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</si>
  <si>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</si>
  <si>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</si>
  <si>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</si>
  <si>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</si>
  <si>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</si>
  <si>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</si>
  <si>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</si>
  <si>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</si>
  <si>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</si>
  <si>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</si>
  <si>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</si>
  <si>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</si>
  <si>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</si>
  <si>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</si>
  <si>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</si>
  <si>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</si>
  <si>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</si>
  <si>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</si>
  <si>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</si>
  <si>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</si>
  <si>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</si>
  <si>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</si>
  <si>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</si>
  <si>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</si>
  <si>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</si>
  <si>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</si>
  <si>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</si>
  <si>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</si>
  <si>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</si>
  <si>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</si>
  <si>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</si>
  <si>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</si>
  <si>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</si>
  <si>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</si>
  <si>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</si>
  <si>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</si>
  <si>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</si>
  <si>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</si>
  <si>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</si>
  <si>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</si>
  <si>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</si>
  <si>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</si>
  <si>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</si>
  <si>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</si>
  <si>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</si>
  <si>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</si>
  <si>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</si>
  <si>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</si>
  <si>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</si>
  <si>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</si>
  <si>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</si>
  <si>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</si>
  <si>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</si>
  <si>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</si>
  <si>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</si>
  <si>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</si>
  <si>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</si>
  <si>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</si>
  <si>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</si>
  <si>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</si>
  <si>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</si>
  <si>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</si>
  <si>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</si>
  <si>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</si>
  <si>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</si>
  <si>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</si>
  <si>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</si>
  <si>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</si>
  <si>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</si>
  <si>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</si>
  <si>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</si>
  <si>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</si>
  <si>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</si>
  <si>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</si>
  <si>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</si>
  <si>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</si>
  <si>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</si>
  <si>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</si>
  <si>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</si>
  <si>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</si>
  <si>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</si>
  <si>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</si>
  <si>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</si>
  <si>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</si>
  <si>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</si>
  <si>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</si>
  <si>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</si>
  <si>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</si>
  <si>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</si>
  <si>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</si>
  <si>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</si>
  <si>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</si>
  <si>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</si>
  <si>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</si>
  <si>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</si>
  <si>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</si>
  <si>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</si>
  <si>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</si>
  <si>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</si>
  <si>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</si>
  <si>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</si>
  <si>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</si>
  <si>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</si>
  <si>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</si>
  <si>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</si>
  <si>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</si>
  <si>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</si>
  <si>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</si>
  <si>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</si>
  <si>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</si>
  <si>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</si>
  <si>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</si>
  <si>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</si>
  <si>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</si>
  <si>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</si>
  <si>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</si>
  <si>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</si>
  <si>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</si>
  <si>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</si>
  <si>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</si>
  <si>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</si>
  <si>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</si>
  <si>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</si>
  <si>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</si>
  <si>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</si>
  <si>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</si>
  <si>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</si>
  <si>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</si>
  <si>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</si>
  <si>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</si>
  <si>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</si>
  <si>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</si>
  <si>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</si>
  <si>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</si>
  <si>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</si>
  <si>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</si>
  <si>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</si>
  <si>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</si>
  <si>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</si>
  <si>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</si>
  <si>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</si>
  <si>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</si>
  <si>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</si>
  <si>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</si>
  <si>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</si>
  <si>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</si>
  <si>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</si>
  <si>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</si>
  <si>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</si>
  <si>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</si>
  <si>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</si>
  <si>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</si>
  <si>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</si>
  <si>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</si>
  <si>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</si>
  <si>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</si>
  <si>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</si>
  <si>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</si>
  <si>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</si>
  <si>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</si>
  <si>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</si>
  <si>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</si>
  <si>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</si>
  <si>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</si>
  <si>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</si>
  <si>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</si>
  <si>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</si>
  <si>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</si>
  <si>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</si>
  <si>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</si>
  <si>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</si>
  <si>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</si>
  <si>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</si>
  <si>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</si>
  <si>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</si>
  <si>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</si>
  <si>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</si>
  <si>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</si>
  <si>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</si>
  <si>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</si>
  <si>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</si>
  <si>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</si>
  <si>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</si>
  <si>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</si>
  <si>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</si>
  <si>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</si>
  <si>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</si>
  <si>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</si>
  <si>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</si>
  <si>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</si>
  <si>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</si>
  <si>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</si>
  <si>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</si>
  <si>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</si>
  <si>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</si>
  <si>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</si>
  <si>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</si>
  <si>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</si>
  <si>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</si>
  <si>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</si>
  <si>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</si>
  <si>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</si>
  <si>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</si>
  <si>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</si>
  <si>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</si>
  <si>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</si>
  <si>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</si>
  <si>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</si>
  <si>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</si>
  <si>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</si>
  <si>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</si>
  <si>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</si>
  <si>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</si>
  <si>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</si>
  <si>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</si>
  <si>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</si>
  <si>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</si>
  <si>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</si>
  <si>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</si>
  <si>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</si>
  <si>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</si>
  <si>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</si>
  <si>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</si>
  <si>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</si>
  <si>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</si>
  <si>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</si>
  <si>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</si>
  <si>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</si>
  <si>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</si>
  <si>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</si>
  <si>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</si>
  <si>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</si>
  <si>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</si>
  <si>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</si>
  <si>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</si>
  <si>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</si>
  <si>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</si>
  <si>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</si>
  <si>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</si>
  <si>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</si>
  <si>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</si>
  <si>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</si>
  <si>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</si>
  <si>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</si>
  <si>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</si>
  <si>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</si>
  <si>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</si>
  <si>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</si>
  <si>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</si>
  <si>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</si>
  <si>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</si>
  <si>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</si>
  <si>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</si>
  <si>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</si>
  <si>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</si>
  <si>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</si>
  <si>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</si>
  <si>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</si>
  <si>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</si>
  <si>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</si>
  <si>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</si>
  <si>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</si>
  <si>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</si>
  <si>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</si>
  <si>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</si>
  <si>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</si>
  <si>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</si>
  <si>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</si>
  <si>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</si>
  <si>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</si>
  <si>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</si>
  <si>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</si>
  <si>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</si>
  <si>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</si>
  <si>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</si>
  <si>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</si>
  <si>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</si>
  <si>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</si>
  <si>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</si>
  <si>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</si>
  <si>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</si>
  <si>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</si>
  <si>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</si>
  <si>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</si>
  <si>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</si>
  <si>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</si>
  <si>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</si>
  <si>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</si>
  <si>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</si>
  <si>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</si>
  <si>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</si>
  <si>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</si>
  <si>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</si>
  <si>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</si>
  <si>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</si>
  <si>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</si>
  <si>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</si>
  <si>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</si>
  <si>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</si>
  <si>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</si>
  <si>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</si>
  <si>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</si>
  <si>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</si>
  <si>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</si>
  <si>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</si>
  <si>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</si>
  <si>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</si>
  <si>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</si>
  <si>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</si>
  <si>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</si>
  <si>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</si>
  <si>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</si>
  <si>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</si>
  <si>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</si>
  <si>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</si>
  <si>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</si>
  <si>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</si>
  <si>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</si>
  <si>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</si>
  <si>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</si>
  <si>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</si>
  <si>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</si>
  <si>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</si>
  <si>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</si>
  <si>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</si>
  <si>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</si>
  <si>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</si>
  <si>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</si>
  <si>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</si>
  <si>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</si>
  <si>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</si>
  <si>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</si>
  <si>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</si>
  <si>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</si>
  <si>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</si>
  <si>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</si>
  <si>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</si>
  <si>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</si>
  <si>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</si>
  <si>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</si>
  <si>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</si>
  <si>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</si>
  <si>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</si>
  <si>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</si>
  <si>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</si>
  <si>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</si>
  <si>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</si>
  <si>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</si>
  <si>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</si>
  <si>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</si>
  <si>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</si>
  <si>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</si>
  <si>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</si>
  <si>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</si>
  <si>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</si>
  <si>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</si>
  <si>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</si>
  <si>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</si>
  <si>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</si>
  <si>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</si>
  <si>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</si>
  <si>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</si>
  <si>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</si>
  <si>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</si>
  <si>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</si>
  <si>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</si>
  <si>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</si>
  <si>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</si>
  <si>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</si>
  <si>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</si>
  <si>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</si>
  <si>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</si>
  <si>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</si>
  <si>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</si>
  <si>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</si>
  <si>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</si>
  <si>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</si>
  <si>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</si>
  <si>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</si>
  <si>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</si>
  <si>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</si>
  <si>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</si>
  <si>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</si>
  <si>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</si>
  <si>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</si>
  <si>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</si>
  <si>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</si>
  <si>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</si>
  <si>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</si>
  <si>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</si>
  <si>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</si>
  <si>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</si>
  <si>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</si>
  <si>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</si>
  <si>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</si>
  <si>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</si>
  <si>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</si>
  <si>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</si>
  <si>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</si>
  <si>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</si>
  <si>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</si>
  <si>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</si>
  <si>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</si>
  <si>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</si>
  <si>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</si>
  <si>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</si>
  <si>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</si>
  <si>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</si>
  <si>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</si>
  <si>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</si>
  <si>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</si>
  <si>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</si>
  <si>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</si>
  <si>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</si>
  <si>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</si>
  <si>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</si>
  <si>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</si>
  <si>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</si>
  <si>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</si>
  <si>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</si>
  <si>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</si>
  <si>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</si>
  <si>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</si>
  <si>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</si>
  <si>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</si>
  <si>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</si>
  <si>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</si>
  <si>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</si>
  <si>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</si>
  <si>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</si>
  <si>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</si>
  <si>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</si>
  <si>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</si>
  <si>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</si>
  <si>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</si>
  <si>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</si>
  <si>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</si>
  <si>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</si>
  <si>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</si>
  <si>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</si>
  <si>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</si>
  <si>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</si>
  <si>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</si>
  <si>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</si>
  <si>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</si>
  <si>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</si>
  <si>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</si>
  <si>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</si>
  <si>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</si>
  <si>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</si>
  <si>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</si>
  <si>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</si>
  <si>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</si>
  <si>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</si>
  <si>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</si>
  <si>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</si>
  <si>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</si>
  <si>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</si>
  <si>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</si>
  <si>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</si>
  <si>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</si>
  <si>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</si>
  <si>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</si>
  <si>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</si>
  <si>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</si>
  <si>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</si>
  <si>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</si>
  <si>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</si>
  <si>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</si>
  <si>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</si>
  <si>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</si>
  <si>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</si>
  <si>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</si>
  <si>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</si>
  <si>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</si>
  <si>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</si>
  <si>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</si>
  <si>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</si>
  <si>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</si>
  <si>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</si>
  <si>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</si>
  <si>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</si>
  <si>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</si>
  <si>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</si>
  <si>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</si>
  <si>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</si>
  <si>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</si>
  <si>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</si>
  <si>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</si>
  <si>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</si>
  <si>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</si>
  <si>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</si>
  <si>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</si>
  <si>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</si>
  <si>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</si>
  <si>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</si>
  <si>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</si>
  <si>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</si>
  <si>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</si>
  <si>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</si>
  <si>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</si>
  <si>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</si>
  <si>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</si>
  <si>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</si>
  <si>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</si>
  <si>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</si>
  <si>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</si>
  <si>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</si>
  <si>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</si>
  <si>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</si>
  <si>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</si>
  <si>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</si>
  <si>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</si>
  <si>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</si>
  <si>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</si>
  <si>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</si>
  <si>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</si>
  <si>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</si>
  <si>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</si>
  <si>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</si>
  <si>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</si>
  <si>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</si>
  <si>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</si>
  <si>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</si>
  <si>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</si>
  <si>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</si>
  <si>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</si>
  <si>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</si>
  <si>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</si>
  <si>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</si>
  <si>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</si>
  <si>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</si>
  <si>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</si>
  <si>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</si>
  <si>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</si>
  <si>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</si>
  <si>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</si>
  <si>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</si>
  <si>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</si>
  <si>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</si>
  <si>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</si>
  <si>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</si>
  <si>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</si>
  <si>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</si>
  <si>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</si>
  <si>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</si>
  <si>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</si>
  <si>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</si>
  <si>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</si>
  <si>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</si>
  <si>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</si>
  <si>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</si>
  <si>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</si>
  <si>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</si>
  <si>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</si>
  <si>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</si>
  <si>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</si>
  <si>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</si>
  <si>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</si>
  <si>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</si>
  <si>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</si>
  <si>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</si>
  <si>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</si>
  <si>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</si>
  <si>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</si>
  <si>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</si>
  <si>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</si>
  <si>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</si>
  <si>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</si>
  <si>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</si>
  <si>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</si>
  <si>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</si>
  <si>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</si>
  <si>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</si>
  <si>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</si>
  <si>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</si>
  <si>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</si>
  <si>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</si>
  <si>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</si>
  <si>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</si>
  <si>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</si>
  <si>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</si>
  <si>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</si>
  <si>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</si>
  <si>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</si>
  <si>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</si>
  <si>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</si>
  <si>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</si>
  <si>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</si>
  <si>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</si>
  <si>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</si>
  <si>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</si>
  <si>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</si>
  <si>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</si>
  <si>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</si>
  <si>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</si>
  <si>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</si>
  <si>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</si>
  <si>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</si>
  <si>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</si>
  <si>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</si>
  <si>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</si>
  <si>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</si>
  <si>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</si>
  <si>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</si>
  <si>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</si>
  <si>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</si>
  <si>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</si>
  <si>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</si>
  <si>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</si>
  <si>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</si>
  <si>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</si>
  <si>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</si>
  <si>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</si>
  <si>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</si>
  <si>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</si>
  <si>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</si>
  <si>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</si>
  <si>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</si>
  <si>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</si>
  <si>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</si>
  <si>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</si>
  <si>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</si>
  <si>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</si>
  <si>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</si>
  <si>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</si>
  <si>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</si>
  <si>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</si>
  <si>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</si>
  <si>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</si>
  <si>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</si>
  <si>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</si>
  <si>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</si>
  <si>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</si>
  <si>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</si>
  <si>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</si>
  <si>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</si>
  <si>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</si>
  <si>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</si>
  <si>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</si>
  <si>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</si>
  <si>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</si>
  <si>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</si>
  <si>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</si>
  <si>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</si>
  <si>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</si>
  <si>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</si>
  <si>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</si>
  <si>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</si>
  <si>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</si>
  <si>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</si>
  <si>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</si>
  <si>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</si>
  <si>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</si>
  <si>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</si>
  <si>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</si>
  <si>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</si>
  <si>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</si>
  <si>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</si>
  <si>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</si>
  <si>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</si>
  <si>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</si>
  <si>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</si>
  <si>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</si>
  <si>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</si>
  <si>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</si>
  <si>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</si>
  <si>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</si>
  <si>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</si>
  <si>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</si>
  <si>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</si>
  <si>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</si>
  <si>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</si>
  <si>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</si>
  <si>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</si>
  <si>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</si>
  <si>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</si>
  <si>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</si>
  <si>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</si>
  <si>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</si>
  <si>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</si>
  <si>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</si>
  <si>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</si>
  <si>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</si>
  <si>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</si>
  <si>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</si>
  <si>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</si>
  <si>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</si>
  <si>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</si>
  <si>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</si>
  <si>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</si>
  <si>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</si>
  <si>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</si>
  <si>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</si>
  <si>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</si>
  <si>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</si>
  <si>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</si>
  <si>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</si>
  <si>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</si>
  <si>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</si>
  <si>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</si>
  <si>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</si>
  <si>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</si>
  <si>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</si>
  <si>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</si>
  <si>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</si>
  <si>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</si>
  <si>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</si>
  <si>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</si>
  <si>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</si>
  <si>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</si>
  <si>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</si>
  <si>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</si>
  <si>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</si>
  <si>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</si>
  <si>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</si>
  <si>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</si>
  <si>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</si>
  <si>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</si>
  <si>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</si>
  <si>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</si>
  <si>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</si>
  <si>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</si>
  <si>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</si>
  <si>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</si>
  <si>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</si>
  <si>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</si>
  <si>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</si>
  <si>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</si>
  <si>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</si>
  <si>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</si>
  <si>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</si>
  <si>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</si>
  <si>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</si>
  <si>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</si>
  <si>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</si>
  <si>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</si>
  <si>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</si>
  <si>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</si>
  <si>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</si>
  <si>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</si>
  <si>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</si>
  <si>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</si>
  <si>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</si>
  <si>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</si>
  <si>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</si>
  <si>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</si>
  <si>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</si>
  <si>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</si>
  <si>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</si>
  <si>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</si>
  <si>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</si>
  <si>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</si>
  <si>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</si>
  <si>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</si>
  <si>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</si>
  <si>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</si>
  <si>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</si>
  <si>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</si>
  <si>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</si>
  <si>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</si>
  <si>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</si>
  <si>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</si>
  <si>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</si>
  <si>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</si>
  <si>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</si>
  <si>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</si>
  <si>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</si>
  <si>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</si>
  <si>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</si>
  <si>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</si>
  <si>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</si>
  <si>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</si>
  <si>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</si>
  <si>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</si>
  <si>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</si>
  <si>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</si>
  <si>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</si>
  <si>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</si>
  <si>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</si>
  <si>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</si>
  <si>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</si>
  <si>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</si>
  <si>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</si>
  <si>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</si>
  <si>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</si>
  <si>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</si>
  <si>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</si>
  <si>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</si>
  <si>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</si>
  <si>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</si>
  <si>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</si>
  <si>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</si>
  <si>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</si>
  <si>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</si>
  <si>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</si>
  <si>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</si>
  <si>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</si>
  <si>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</si>
  <si>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</si>
  <si>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</si>
  <si>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</si>
  <si>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</si>
  <si>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</si>
  <si>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</si>
  <si>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</si>
  <si>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</si>
  <si>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</si>
  <si>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</si>
  <si>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</si>
  <si>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</si>
  <si>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</si>
  <si>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</si>
  <si>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</si>
  <si>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</si>
  <si>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04/02</t>
  </si>
  <si>
    <t>07/22</t>
  </si>
  <si>
    <t>02/04</t>
  </si>
  <si>
    <t>08/16</t>
  </si>
  <si>
    <t>06/05</t>
  </si>
  <si>
    <t>08/25</t>
  </si>
  <si>
    <t>07/08</t>
  </si>
  <si>
    <t>07/28</t>
  </si>
  <si>
    <t>Londonderry School District</t>
  </si>
  <si>
    <t>$100,000 -  Impact Fees</t>
  </si>
  <si>
    <t>$59,781.70 - NH Retirement Reimbursement</t>
  </si>
  <si>
    <t>$245.00 - Misc.</t>
  </si>
  <si>
    <t>$334,339.74 - Lease Payment</t>
  </si>
  <si>
    <t>$796,293.75 -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</si>
</sst>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917</v>
      </c>
      <c r="B2" s="21">
        <v>319</v>
      </c>
      <c r="C2" s="21">
        <v>319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1684459.61</v>
      </c>
      <c r="G9" s="18">
        <v>6600</v>
      </c>
      <c r="H9" s="18"/>
      <c r="I9" s="18"/>
      <c r="J9" s="67">
        <f>SUM(I438)</f>
        <v>321148.44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471515.19</v>
      </c>
      <c r="G12" s="18">
        <v>12686.7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14437.87</v>
      </c>
      <c r="H13" s="18">
        <v>462077.84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72027.259999999995</v>
      </c>
      <c r="G14" s="18">
        <v>20118.310000000001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23044.93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2080.9299999999998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2230082.9900000002</v>
      </c>
      <c r="G19" s="41">
        <f>SUM(G9:G18)</f>
        <v>76887.81</v>
      </c>
      <c r="H19" s="41">
        <f>SUM(H9:H18)</f>
        <v>462077.84</v>
      </c>
      <c r="I19" s="41">
        <f>SUM(I9:I18)</f>
        <v>0</v>
      </c>
      <c r="J19" s="41">
        <f>SUM(J9:J18)</f>
        <v>321148.44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361489.43</v>
      </c>
      <c r="I22" s="18"/>
      <c r="J22" s="67">
        <f>SUM(I447)</f>
        <v>122712.46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419788.44</v>
      </c>
      <c r="G24" s="18">
        <v>35315.67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511439.67</v>
      </c>
      <c r="G28" s="18">
        <v>12965</v>
      </c>
      <c r="H28" s="18">
        <v>23620.75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238409.67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1169637.78</v>
      </c>
      <c r="G32" s="41">
        <f>SUM(G22:G31)</f>
        <v>48280.67</v>
      </c>
      <c r="H32" s="41">
        <f>SUM(H22:H31)</f>
        <v>385110.18</v>
      </c>
      <c r="I32" s="41">
        <f>SUM(I22:I31)</f>
        <v>0</v>
      </c>
      <c r="J32" s="41">
        <f>SUM(J22:J31)</f>
        <v>122712.46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23044.93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2080.9299999999998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76967.66</v>
      </c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5562.21</v>
      </c>
      <c r="H47" s="18"/>
      <c r="I47" s="18"/>
      <c r="J47" s="13">
        <f>SUM(I458)</f>
        <v>198435.97999999998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28608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979756.28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1060445.21</v>
      </c>
      <c r="G50" s="41">
        <f>SUM(G35:G49)</f>
        <v>28607.14</v>
      </c>
      <c r="H50" s="41">
        <f>SUM(H35:H49)</f>
        <v>76967.66</v>
      </c>
      <c r="I50" s="41">
        <f>SUM(I35:I49)</f>
        <v>0</v>
      </c>
      <c r="J50" s="41">
        <f>SUM(J35:J49)</f>
        <v>198435.97999999998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2230082.9900000002</v>
      </c>
      <c r="G51" s="41">
        <f>G50+G32</f>
        <v>76887.81</v>
      </c>
      <c r="H51" s="41">
        <f>H50+H32</f>
        <v>462077.83999999997</v>
      </c>
      <c r="I51" s="41">
        <f>I50+I32</f>
        <v>0</v>
      </c>
      <c r="J51" s="41">
        <f>J50+J32</f>
        <v>321148.44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42005210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42005210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82909.5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17258.5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21386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36482.04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76653.679999999993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234689.72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12349.02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12349.02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122.08</v>
      </c>
      <c r="H95" s="18"/>
      <c r="I95" s="18"/>
      <c r="J95" s="18">
        <v>264.07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962380.53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13471.96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47198.5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4202.42</v>
      </c>
      <c r="G101" s="18"/>
      <c r="H101" s="18">
        <v>2274.04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160026.70000000001</v>
      </c>
      <c r="G109" s="18">
        <v>17434.02</v>
      </c>
      <c r="H109" s="18">
        <v>17488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224899.58000000002</v>
      </c>
      <c r="G110" s="41">
        <f>SUM(G95:G109)</f>
        <v>979936.63</v>
      </c>
      <c r="H110" s="41">
        <f>SUM(H95:H109)</f>
        <v>19762.04</v>
      </c>
      <c r="I110" s="41">
        <f>SUM(I95:I109)</f>
        <v>0</v>
      </c>
      <c r="J110" s="41">
        <f>SUM(J95:J109)</f>
        <v>264.07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42477148.32</v>
      </c>
      <c r="G111" s="41">
        <f>G59+G110</f>
        <v>979936.63</v>
      </c>
      <c r="H111" s="41">
        <f>H59+H78+H93+H110</f>
        <v>19762.04</v>
      </c>
      <c r="I111" s="41">
        <f>I59+I110</f>
        <v>0</v>
      </c>
      <c r="J111" s="41">
        <f>J59+J110</f>
        <v>264.07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14633850.74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6273851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12679.26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20920381.000000004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539694.51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398148.53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7637.32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17651.91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520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18798.14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963652.27</v>
      </c>
      <c r="G135" s="41">
        <f>SUM(G122:G134)</f>
        <v>18798.14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21884033.270000003</v>
      </c>
      <c r="G139" s="41">
        <f>G120+SUM(G135:G136)</f>
        <v>18798.14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235604.85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152982.74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72110.2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248825.16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1371523.05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322493.99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14616.68</v>
      </c>
      <c r="G160" s="18">
        <f>50561.11+2594.51</f>
        <v>53155.62</v>
      </c>
      <c r="H160" s="18">
        <v>460451.62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337110.67</v>
      </c>
      <c r="G161" s="41">
        <f>SUM(G149:G160)</f>
        <v>301980.78000000003</v>
      </c>
      <c r="H161" s="41">
        <f>SUM(H149:H160)</f>
        <v>2292672.46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337110.67</v>
      </c>
      <c r="G168" s="41">
        <f>G146+G161+SUM(G162:G167)</f>
        <v>301980.78000000003</v>
      </c>
      <c r="H168" s="41">
        <f>H146+H161+SUM(H162:H167)</f>
        <v>2292672.46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20118.310000000001</v>
      </c>
      <c r="H178" s="18"/>
      <c r="I178" s="18"/>
      <c r="J178" s="18">
        <v>325000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20118.310000000001</v>
      </c>
      <c r="H182" s="41">
        <f>SUM(H178:H181)</f>
        <v>0</v>
      </c>
      <c r="I182" s="41">
        <f>SUM(I178:I181)</f>
        <v>0</v>
      </c>
      <c r="J182" s="41">
        <f>SUM(J178:J181)</f>
        <v>325000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432006.9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432006.9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465779.46</v>
      </c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897786.3600000001</v>
      </c>
      <c r="G191" s="41">
        <f>G182+SUM(G187:G190)</f>
        <v>20118.310000000001</v>
      </c>
      <c r="H191" s="41">
        <f>+H182+SUM(H187:H190)</f>
        <v>0</v>
      </c>
      <c r="I191" s="41">
        <f>I176+I182+SUM(I187:I190)</f>
        <v>0</v>
      </c>
      <c r="J191" s="41">
        <f>J182</f>
        <v>325000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65596078.620000005</v>
      </c>
      <c r="G192" s="47">
        <f>G111+G139+G168+G191</f>
        <v>1320833.8600000001</v>
      </c>
      <c r="H192" s="47">
        <f>H111+H139+H168+H191</f>
        <v>2312434.5</v>
      </c>
      <c r="I192" s="47">
        <f>I111+I139+I168+I191</f>
        <v>0</v>
      </c>
      <c r="J192" s="47">
        <f>J111+J139+J191</f>
        <v>325264.07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6498850.61+210063.68</f>
        <v>6708914.29</v>
      </c>
      <c r="G196" s="18">
        <v>2984712.16</v>
      </c>
      <c r="H196" s="18">
        <f>447.7+1015.5+1081.25-0.06</f>
        <v>2544.39</v>
      </c>
      <c r="I196" s="18">
        <f>85773.02+207318.92+626.79+2547.1+38153.61</f>
        <v>334419.43999999994</v>
      </c>
      <c r="J196" s="18">
        <f>16150.17</f>
        <v>16150.17</v>
      </c>
      <c r="K196" s="18"/>
      <c r="L196" s="19">
        <f>SUM(F196:K196)</f>
        <v>10046740.449999999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3647270.36+143320.61+6369.5</f>
        <v>3796960.4699999997</v>
      </c>
      <c r="G197" s="18">
        <v>1889792.73</v>
      </c>
      <c r="H197" s="18">
        <f>189994.49+20649.23-0.01</f>
        <v>210643.71</v>
      </c>
      <c r="I197" s="18">
        <f>4311.61+13528.98+7472.85</f>
        <v>25313.440000000002</v>
      </c>
      <c r="J197" s="18"/>
      <c r="K197" s="18">
        <f>704+2719.5</f>
        <v>3423.5</v>
      </c>
      <c r="L197" s="19">
        <f>SUM(F197:K197)</f>
        <v>5926133.8499999996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48555.02+36369.03</f>
        <v>84924.049999999988</v>
      </c>
      <c r="G199" s="18">
        <v>35727.870000000003</v>
      </c>
      <c r="H199" s="18"/>
      <c r="I199" s="18">
        <v>3291.26</v>
      </c>
      <c r="J199" s="18"/>
      <c r="K199" s="18"/>
      <c r="L199" s="19">
        <f>SUM(F199:K199)</f>
        <v>123943.17999999998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1046490.92+725673.04</f>
        <v>1772163.96</v>
      </c>
      <c r="G201" s="18">
        <v>818893.41</v>
      </c>
      <c r="H201" s="18">
        <v>88655.86</v>
      </c>
      <c r="I201" s="18">
        <f>1246.34+21.86+7186.27+1693.7</f>
        <v>10148.170000000002</v>
      </c>
      <c r="J201" s="18"/>
      <c r="K201" s="18">
        <f>143.99+197.61</f>
        <v>341.6</v>
      </c>
      <c r="L201" s="19">
        <f t="shared" ref="L201:L207" si="0">SUM(F201:K201)</f>
        <v>2690203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305950.77+76279.55</f>
        <v>382230.32</v>
      </c>
      <c r="G202" s="18">
        <f>50206.12+8580.18+184880</f>
        <v>243666.3</v>
      </c>
      <c r="H202" s="18">
        <f>5220+4056.28</f>
        <v>9276.2800000000007</v>
      </c>
      <c r="I202" s="18">
        <f>8103.72+38732.25+4529.08</f>
        <v>51365.05</v>
      </c>
      <c r="J202" s="18">
        <v>35308.449999999997</v>
      </c>
      <c r="K202" s="18">
        <v>1044.68</v>
      </c>
      <c r="L202" s="19">
        <f t="shared" si="0"/>
        <v>722891.08000000007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135721.97</v>
      </c>
      <c r="G203" s="18">
        <v>61501.18</v>
      </c>
      <c r="H203" s="18">
        <v>138521.16</v>
      </c>
      <c r="I203" s="18">
        <v>11930.32</v>
      </c>
      <c r="J203" s="18">
        <v>4810.2299999999996</v>
      </c>
      <c r="K203" s="18">
        <v>7216.32</v>
      </c>
      <c r="L203" s="19">
        <f t="shared" si="0"/>
        <v>359701.18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734257.31+4963.57</f>
        <v>739220.88</v>
      </c>
      <c r="G204" s="18">
        <v>341830.18</v>
      </c>
      <c r="H204" s="18">
        <f>9687.13+2208.76+1040.51+3481.14+2233.46</f>
        <v>18651</v>
      </c>
      <c r="I204" s="18"/>
      <c r="J204" s="18"/>
      <c r="K204" s="18">
        <v>5810</v>
      </c>
      <c r="L204" s="19">
        <f t="shared" si="0"/>
        <v>1105512.06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195888.18</v>
      </c>
      <c r="G205" s="18">
        <v>87664.93</v>
      </c>
      <c r="H205" s="18">
        <v>20880.34</v>
      </c>
      <c r="I205" s="18"/>
      <c r="J205" s="18"/>
      <c r="K205" s="18"/>
      <c r="L205" s="19">
        <f t="shared" si="0"/>
        <v>304433.45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630284.02+260809.37</f>
        <v>891093.39</v>
      </c>
      <c r="G206" s="18">
        <v>377053.6</v>
      </c>
      <c r="H206" s="18">
        <f>9108.36+12542.91+26781.76+5443.2+82135.5+14582.65+627916.64</f>
        <v>778511.02</v>
      </c>
      <c r="I206" s="18">
        <f>56630.29+2386.45+56792.58+166352+49764.02+5277.16</f>
        <v>337202.5</v>
      </c>
      <c r="J206" s="18">
        <f>8842+214822+28121.54</f>
        <v>251785.54</v>
      </c>
      <c r="K206" s="18">
        <v>300.3</v>
      </c>
      <c r="L206" s="19">
        <f t="shared" si="0"/>
        <v>2635946.3499999996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1820.34+1431826.04</f>
        <v>1433646.3800000001</v>
      </c>
      <c r="I207" s="18"/>
      <c r="J207" s="18"/>
      <c r="K207" s="18"/>
      <c r="L207" s="19">
        <f t="shared" si="0"/>
        <v>1433646.3800000001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173871.35</v>
      </c>
      <c r="G208" s="18">
        <v>75004.92</v>
      </c>
      <c r="H208" s="18">
        <v>116440.51</v>
      </c>
      <c r="I208" s="18">
        <v>58152.58</v>
      </c>
      <c r="J208" s="18">
        <v>65070.27</v>
      </c>
      <c r="K208" s="18"/>
      <c r="L208" s="19">
        <f>SUM(F208:K208)</f>
        <v>488539.63000000006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14880988.860000001</v>
      </c>
      <c r="G210" s="41">
        <f t="shared" si="1"/>
        <v>6915847.2799999993</v>
      </c>
      <c r="H210" s="41">
        <f t="shared" si="1"/>
        <v>2817770.65</v>
      </c>
      <c r="I210" s="41">
        <f t="shared" si="1"/>
        <v>831822.75999999989</v>
      </c>
      <c r="J210" s="41">
        <f t="shared" si="1"/>
        <v>373124.66000000003</v>
      </c>
      <c r="K210" s="41">
        <f t="shared" si="1"/>
        <v>18136.399999999998</v>
      </c>
      <c r="L210" s="41">
        <f t="shared" si="1"/>
        <v>25837690.609999992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4228565.07+120682.52</f>
        <v>4349247.59</v>
      </c>
      <c r="G214" s="18">
        <v>1953429.07</v>
      </c>
      <c r="H214" s="18">
        <f>960.1+25414.08+1598.91</f>
        <v>27973.09</v>
      </c>
      <c r="I214" s="18">
        <f>107783.11+356+684.53+42024.49+2317.95+7013.11</f>
        <v>160179.19</v>
      </c>
      <c r="J214" s="18">
        <f>95.04+3542.92</f>
        <v>3637.96</v>
      </c>
      <c r="K214" s="18"/>
      <c r="L214" s="19">
        <f>SUM(F214:K214)</f>
        <v>6494466.9000000004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1477615.28+41050.32+6369.5</f>
        <v>1525035.1</v>
      </c>
      <c r="G215" s="18">
        <v>719921.64</v>
      </c>
      <c r="H215" s="18">
        <f>181498.37+10468.11+13608.05</f>
        <v>205574.52999999997</v>
      </c>
      <c r="I215" s="18">
        <f>3653.32+7119.83+5424.18</f>
        <v>16197.33</v>
      </c>
      <c r="J215" s="18">
        <v>2030</v>
      </c>
      <c r="K215" s="18">
        <v>2719.5</v>
      </c>
      <c r="L215" s="19">
        <f>SUM(F215:K215)</f>
        <v>2471478.1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116938.98+37889.7</f>
        <v>154828.68</v>
      </c>
      <c r="G217" s="18">
        <v>67965.06</v>
      </c>
      <c r="H217" s="18"/>
      <c r="I217" s="18">
        <f>323.92+9455+2754.05+326.19</f>
        <v>12859.160000000002</v>
      </c>
      <c r="J217" s="18">
        <v>5191.57</v>
      </c>
      <c r="K217" s="18">
        <v>2690</v>
      </c>
      <c r="L217" s="19">
        <f>SUM(F217:K217)</f>
        <v>243534.47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542325.1+116893.36</f>
        <v>659218.46</v>
      </c>
      <c r="G219" s="18">
        <v>289756.48</v>
      </c>
      <c r="H219" s="18">
        <f>7006.22+103055.52</f>
        <v>110061.74</v>
      </c>
      <c r="I219" s="18">
        <f>622.76+581.37+1799.29+967.84</f>
        <v>3971.26</v>
      </c>
      <c r="J219" s="18"/>
      <c r="K219" s="18">
        <f>199+112.92</f>
        <v>311.92</v>
      </c>
      <c r="L219" s="19">
        <f t="shared" ref="L219:L225" si="2">SUM(F219:K219)</f>
        <v>1063319.8599999999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186812.49+43588.32</f>
        <v>230400.81</v>
      </c>
      <c r="G220" s="18">
        <f>29481.38+4902.96+98914.7</f>
        <v>133299.04</v>
      </c>
      <c r="H220" s="18">
        <f>2624.36+2317.87</f>
        <v>4942.2299999999996</v>
      </c>
      <c r="I220" s="18">
        <f>4362.55+26357.57+214.25+2588.03</f>
        <v>33522.400000000001</v>
      </c>
      <c r="J220" s="18">
        <v>19536.82</v>
      </c>
      <c r="K220" s="18">
        <v>596.96</v>
      </c>
      <c r="L220" s="19">
        <f t="shared" si="2"/>
        <v>422298.26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77555.41</v>
      </c>
      <c r="G221" s="18">
        <v>37006.53</v>
      </c>
      <c r="H221" s="18">
        <v>79154.94</v>
      </c>
      <c r="I221" s="18">
        <v>6817.32</v>
      </c>
      <c r="J221" s="18">
        <v>2748.7</v>
      </c>
      <c r="K221" s="18">
        <v>4123.6099999999997</v>
      </c>
      <c r="L221" s="19">
        <f t="shared" si="2"/>
        <v>207406.51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396784.27+2836.33</f>
        <v>399620.60000000003</v>
      </c>
      <c r="G222" s="18">
        <v>190186.2</v>
      </c>
      <c r="H222" s="18">
        <f>6680.88+4466.88+1229.51+1276.26</f>
        <v>13653.53</v>
      </c>
      <c r="I222" s="18">
        <v>912.83</v>
      </c>
      <c r="J222" s="18"/>
      <c r="K222" s="18">
        <v>2727</v>
      </c>
      <c r="L222" s="19">
        <f t="shared" si="2"/>
        <v>607100.16000000003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111936.1</v>
      </c>
      <c r="G223" s="18">
        <v>52249.1</v>
      </c>
      <c r="H223" s="18">
        <v>11931.63</v>
      </c>
      <c r="I223" s="18"/>
      <c r="J223" s="18"/>
      <c r="K223" s="18"/>
      <c r="L223" s="19">
        <f t="shared" si="2"/>
        <v>176116.83000000002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410735.98+170455.27</f>
        <v>581191.25</v>
      </c>
      <c r="G224" s="18">
        <v>251807.47</v>
      </c>
      <c r="H224" s="18">
        <f>3774.52+5786.89+9940+3024+54148.57+35935.43+107757.73</f>
        <v>220367.14</v>
      </c>
      <c r="I224" s="18">
        <f>34077.59+2658.28+31999.33+110234.47+2998.36-0.02</f>
        <v>181968.00999999998</v>
      </c>
      <c r="J224" s="18">
        <f>3339+18747.69</f>
        <v>22086.69</v>
      </c>
      <c r="K224" s="18">
        <v>171.6</v>
      </c>
      <c r="L224" s="19">
        <f t="shared" si="2"/>
        <v>1257592.1599999999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18024.27+1163.64+687932.63</f>
        <v>707120.54</v>
      </c>
      <c r="I225" s="18"/>
      <c r="J225" s="18"/>
      <c r="K225" s="18"/>
      <c r="L225" s="19">
        <f t="shared" si="2"/>
        <v>707120.54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99355.06</v>
      </c>
      <c r="G226" s="18">
        <v>43645.52</v>
      </c>
      <c r="H226" s="18">
        <v>66537.429999999993</v>
      </c>
      <c r="I226" s="18">
        <v>33230.050000000003</v>
      </c>
      <c r="J226" s="18">
        <v>23861.91</v>
      </c>
      <c r="K226" s="18"/>
      <c r="L226" s="19">
        <f>SUM(F226:K226)</f>
        <v>266629.96999999997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8188389.0599999977</v>
      </c>
      <c r="G228" s="41">
        <f>SUM(G214:G227)</f>
        <v>3739266.1100000003</v>
      </c>
      <c r="H228" s="41">
        <f>SUM(H214:H227)</f>
        <v>1447316.8</v>
      </c>
      <c r="I228" s="41">
        <f>SUM(I214:I227)</f>
        <v>449657.55</v>
      </c>
      <c r="J228" s="41">
        <f>SUM(J214:J227)</f>
        <v>79093.649999999994</v>
      </c>
      <c r="K228" s="41">
        <f t="shared" si="3"/>
        <v>13340.59</v>
      </c>
      <c r="L228" s="41">
        <f t="shared" si="3"/>
        <v>13917063.76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6235749.24+198481.42</f>
        <v>6434230.6600000001</v>
      </c>
      <c r="G232" s="18">
        <v>2711827.13</v>
      </c>
      <c r="H232" s="18">
        <f>3310+6550.36+3000+304+6744.43</f>
        <v>19908.79</v>
      </c>
      <c r="I232" s="18">
        <f>204487.11+378.25+831.94+60926.28+2574.95+20535.18-0.01</f>
        <v>289733.69999999995</v>
      </c>
      <c r="J232" s="18">
        <f>631.94+14980.3+33660.98</f>
        <v>49273.22</v>
      </c>
      <c r="K232" s="18">
        <v>4123.12</v>
      </c>
      <c r="L232" s="19">
        <f>SUM(F232:K232)</f>
        <v>9509096.6199999973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1693528.16+63148.78-12739</f>
        <v>1743937.94</v>
      </c>
      <c r="G233" s="18">
        <v>908595.92</v>
      </c>
      <c r="H233" s="18">
        <f>48321.88+926429.33+40045.89+16331.13</f>
        <v>1031128.23</v>
      </c>
      <c r="I233" s="18">
        <f>5997.14+3641.66</f>
        <v>9638.7999999999993</v>
      </c>
      <c r="J233" s="18"/>
      <c r="K233" s="18"/>
      <c r="L233" s="19">
        <f>SUM(F233:K233)</f>
        <v>3693300.8899999997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310.1+199595.54</f>
        <v>199905.64</v>
      </c>
      <c r="I234" s="18"/>
      <c r="J234" s="18"/>
      <c r="K234" s="18"/>
      <c r="L234" s="19">
        <f>SUM(F234:K234)</f>
        <v>199905.64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505835.84+55285.69</f>
        <v>561121.53</v>
      </c>
      <c r="G235" s="18">
        <v>238959.56</v>
      </c>
      <c r="H235" s="18">
        <f>280.16+52707.22+13636.39+45291.8</f>
        <v>111915.57</v>
      </c>
      <c r="I235" s="18">
        <f>9192.25+38526.11+1630.94</f>
        <v>49349.3</v>
      </c>
      <c r="J235" s="18">
        <f>11144.5+902.02+30967.71+15574.7</f>
        <v>58588.929999999993</v>
      </c>
      <c r="K235" s="18">
        <f>1458+23329.02</f>
        <v>24787.02</v>
      </c>
      <c r="L235" s="19">
        <f>SUM(F235:K235)</f>
        <v>1044721.9100000001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867803.84+113883.09</f>
        <v>981686.92999999993</v>
      </c>
      <c r="G237" s="18">
        <f>427019.41-0.02</f>
        <v>427019.38999999996</v>
      </c>
      <c r="H237" s="18">
        <f>447.27+3481.64+16060.62+12.24+89478.11</f>
        <v>109479.88</v>
      </c>
      <c r="I237" s="18">
        <f>6413.59+2000+3038.27+2393.88+1371.09</f>
        <v>15216.830000000002</v>
      </c>
      <c r="J237" s="18"/>
      <c r="K237" s="18">
        <f>860+1466.5+159.97</f>
        <v>2486.4699999999998</v>
      </c>
      <c r="L237" s="19">
        <f t="shared" ref="L237:L243" si="4">SUM(F237:K237)</f>
        <v>1535889.4999999998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279733.84+61750.11</f>
        <v>341483.95</v>
      </c>
      <c r="G238" s="18">
        <f>53219.68+6945.86+145558.19</f>
        <v>205723.73</v>
      </c>
      <c r="H238" s="18">
        <f>875+3283.65</f>
        <v>4158.6499999999996</v>
      </c>
      <c r="I238" s="18">
        <f>6464.47+62142.63+2209+3666.39</f>
        <v>74482.489999999991</v>
      </c>
      <c r="J238" s="18">
        <v>54866.17</v>
      </c>
      <c r="K238" s="18">
        <v>845.7</v>
      </c>
      <c r="L238" s="19">
        <f t="shared" si="4"/>
        <v>681560.69000000006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109870.17</v>
      </c>
      <c r="G239" s="18">
        <v>50583</v>
      </c>
      <c r="H239" s="18">
        <v>112136.17</v>
      </c>
      <c r="I239" s="18">
        <v>9657.8799999999992</v>
      </c>
      <c r="J239" s="18">
        <v>3893.99</v>
      </c>
      <c r="K239" s="18">
        <v>5841.78</v>
      </c>
      <c r="L239" s="19">
        <f t="shared" si="4"/>
        <v>291982.99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759126.13+4018.13</f>
        <v>763144.26</v>
      </c>
      <c r="G240" s="18">
        <v>354238.76</v>
      </c>
      <c r="H240" s="18">
        <f>4135+10971.47+13925+2085.16+12855.05+1808.04</f>
        <v>45779.72</v>
      </c>
      <c r="I240" s="18">
        <f>889.38+1079.65</f>
        <v>1969.0300000000002</v>
      </c>
      <c r="J240" s="18"/>
      <c r="K240" s="18">
        <v>4012</v>
      </c>
      <c r="L240" s="19">
        <f t="shared" si="4"/>
        <v>1169143.77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158576.15</v>
      </c>
      <c r="G241" s="18">
        <v>71911.23</v>
      </c>
      <c r="H241" s="18">
        <f>16903.13+1591.91</f>
        <v>18495.04</v>
      </c>
      <c r="I241" s="18"/>
      <c r="J241" s="18"/>
      <c r="K241" s="18"/>
      <c r="L241" s="19">
        <f t="shared" si="4"/>
        <v>248982.42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568741.78+269169.25</f>
        <v>837911.03</v>
      </c>
      <c r="G242" s="18">
        <v>354588.17</v>
      </c>
      <c r="H242" s="18">
        <f>4637.91+1331.2+30915.61+22533.5+6778.8+146892.59+10103.47+309622.12</f>
        <v>532815.19999999995</v>
      </c>
      <c r="I242" s="18">
        <f>60523.3+33285.98+89643.96+243474.36+4620.29</f>
        <v>431547.88999999996</v>
      </c>
      <c r="J242" s="18">
        <f>2814+16936.19+46869.23</f>
        <v>66619.42</v>
      </c>
      <c r="K242" s="18">
        <v>243.1</v>
      </c>
      <c r="L242" s="19">
        <f t="shared" si="4"/>
        <v>2223724.81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77566.65+10764.77+729655.54</f>
        <v>817986.96000000008</v>
      </c>
      <c r="I243" s="18"/>
      <c r="J243" s="18"/>
      <c r="K243" s="18"/>
      <c r="L243" s="19">
        <f t="shared" si="4"/>
        <v>817986.96000000008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140753</v>
      </c>
      <c r="G244" s="18">
        <v>61120.42</v>
      </c>
      <c r="H244" s="18">
        <v>94261.36</v>
      </c>
      <c r="I244" s="18">
        <v>47075.9</v>
      </c>
      <c r="J244" s="18">
        <v>116753.45</v>
      </c>
      <c r="K244" s="18"/>
      <c r="L244" s="19">
        <f>SUM(F244:K244)</f>
        <v>459964.13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12072715.619999997</v>
      </c>
      <c r="G246" s="41">
        <f t="shared" si="5"/>
        <v>5384567.3100000005</v>
      </c>
      <c r="H246" s="41">
        <f t="shared" si="5"/>
        <v>3097971.21</v>
      </c>
      <c r="I246" s="41">
        <f t="shared" si="5"/>
        <v>928671.82</v>
      </c>
      <c r="J246" s="41">
        <f t="shared" si="5"/>
        <v>349995.18</v>
      </c>
      <c r="K246" s="41">
        <f t="shared" si="5"/>
        <v>42339.19</v>
      </c>
      <c r="L246" s="41">
        <f t="shared" si="5"/>
        <v>21876260.329999998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23626.66</v>
      </c>
      <c r="G250" s="18">
        <v>17161.86</v>
      </c>
      <c r="H250" s="18">
        <v>3500</v>
      </c>
      <c r="I250" s="18">
        <f>1011.23+600+746.38</f>
        <v>2357.61</v>
      </c>
      <c r="J250" s="18"/>
      <c r="K250" s="18"/>
      <c r="L250" s="19">
        <f t="shared" si="6"/>
        <v>46646.130000000005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23626.66</v>
      </c>
      <c r="G255" s="41">
        <f t="shared" si="7"/>
        <v>17161.86</v>
      </c>
      <c r="H255" s="41">
        <f t="shared" si="7"/>
        <v>3500</v>
      </c>
      <c r="I255" s="41">
        <f t="shared" si="7"/>
        <v>2357.61</v>
      </c>
      <c r="J255" s="41">
        <f t="shared" si="7"/>
        <v>0</v>
      </c>
      <c r="K255" s="41">
        <f t="shared" si="7"/>
        <v>0</v>
      </c>
      <c r="L255" s="41">
        <f>SUM(F255:K255)</f>
        <v>46646.130000000005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35165720.199999988</v>
      </c>
      <c r="G256" s="41">
        <f t="shared" si="8"/>
        <v>16056842.560000001</v>
      </c>
      <c r="H256" s="41">
        <f t="shared" si="8"/>
        <v>7366558.6600000001</v>
      </c>
      <c r="I256" s="41">
        <f t="shared" si="8"/>
        <v>2212509.7399999998</v>
      </c>
      <c r="J256" s="41">
        <f t="shared" si="8"/>
        <v>802213.49</v>
      </c>
      <c r="K256" s="41">
        <f t="shared" si="8"/>
        <v>73816.179999999993</v>
      </c>
      <c r="L256" s="41">
        <f t="shared" si="8"/>
        <v>61677660.829999991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1725000</v>
      </c>
      <c r="L259" s="19">
        <f>SUM(F259:K259)</f>
        <v>1725000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1130633.49</v>
      </c>
      <c r="L260" s="19">
        <f>SUM(F260:K260)</f>
        <v>1130633.49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20118.310000000001</v>
      </c>
      <c r="L262" s="19">
        <f>SUM(F262:K262)</f>
        <v>20118.310000000001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325000</v>
      </c>
      <c r="L265" s="19">
        <f t="shared" si="9"/>
        <v>325000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3200751.8000000003</v>
      </c>
      <c r="L269" s="41">
        <f t="shared" si="9"/>
        <v>3200751.8000000003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35165720.199999988</v>
      </c>
      <c r="G270" s="42">
        <f t="shared" si="11"/>
        <v>16056842.560000001</v>
      </c>
      <c r="H270" s="42">
        <f t="shared" si="11"/>
        <v>7366558.6600000001</v>
      </c>
      <c r="I270" s="42">
        <f t="shared" si="11"/>
        <v>2212509.7399999998</v>
      </c>
      <c r="J270" s="42">
        <f t="shared" si="11"/>
        <v>802213.49</v>
      </c>
      <c r="K270" s="42">
        <f t="shared" si="11"/>
        <v>3274567.9800000004</v>
      </c>
      <c r="L270" s="42">
        <f t="shared" si="11"/>
        <v>64878412.629999988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322007.46000000002</v>
      </c>
      <c r="G275" s="18"/>
      <c r="H275" s="18"/>
      <c r="I275" s="18"/>
      <c r="J275" s="18"/>
      <c r="K275" s="18"/>
      <c r="L275" s="19">
        <f>SUM(F275:K275)</f>
        <v>322007.46000000002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573087.36+4695.53</f>
        <v>577782.89</v>
      </c>
      <c r="G276" s="18">
        <v>2420.48</v>
      </c>
      <c r="H276" s="18"/>
      <c r="I276" s="18">
        <f>15745.18+49045.28+1886.72+4044.73+1375.89</f>
        <v>72097.799999999988</v>
      </c>
      <c r="J276" s="18">
        <f>47357.75+2571.1+45201.69</f>
        <v>95130.540000000008</v>
      </c>
      <c r="K276" s="18"/>
      <c r="L276" s="19">
        <f>SUM(F276:K276)</f>
        <v>747431.71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110563.59+57901.11</f>
        <v>168464.7</v>
      </c>
      <c r="G280" s="18"/>
      <c r="H280" s="18"/>
      <c r="I280" s="18"/>
      <c r="J280" s="18"/>
      <c r="K280" s="18"/>
      <c r="L280" s="19">
        <f t="shared" ref="L280:L286" si="12">SUM(F280:K280)</f>
        <v>168464.7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56860.68+2000</f>
        <v>58860.68</v>
      </c>
      <c r="G281" s="18"/>
      <c r="H281" s="18">
        <v>3167.43</v>
      </c>
      <c r="I281" s="18">
        <f>2464.23+321.53+1714.13</f>
        <v>4499.8900000000003</v>
      </c>
      <c r="J281" s="18">
        <f>3604</f>
        <v>3604</v>
      </c>
      <c r="K281" s="18"/>
      <c r="L281" s="19">
        <f t="shared" si="12"/>
        <v>70132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1127115.73</v>
      </c>
      <c r="G289" s="42">
        <f t="shared" si="13"/>
        <v>2420.48</v>
      </c>
      <c r="H289" s="42">
        <f t="shared" si="13"/>
        <v>3167.43</v>
      </c>
      <c r="I289" s="42">
        <f t="shared" si="13"/>
        <v>76597.689999999988</v>
      </c>
      <c r="J289" s="42">
        <f t="shared" si="13"/>
        <v>98734.540000000008</v>
      </c>
      <c r="K289" s="42">
        <f t="shared" si="13"/>
        <v>0</v>
      </c>
      <c r="L289" s="41">
        <f t="shared" si="13"/>
        <v>1308035.8699999999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282848.82</f>
        <v>282848.82</v>
      </c>
      <c r="G294" s="18"/>
      <c r="H294" s="18"/>
      <c r="I294" s="18"/>
      <c r="J294" s="18"/>
      <c r="K294" s="18"/>
      <c r="L294" s="19">
        <f>SUM(F294:K294)</f>
        <v>282848.82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67110.33+1082.88</f>
        <v>68193.210000000006</v>
      </c>
      <c r="G295" s="18"/>
      <c r="H295" s="18"/>
      <c r="I295" s="18">
        <f>52.48+3520.4+1078.12+1028.42+786.22</f>
        <v>6465.64</v>
      </c>
      <c r="J295" s="18">
        <f>299+43823.5+1469.2</f>
        <v>45591.7</v>
      </c>
      <c r="K295" s="18"/>
      <c r="L295" s="19">
        <f>SUM(F295:K295)</f>
        <v>120250.55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1200</v>
      </c>
      <c r="I299" s="18"/>
      <c r="J299" s="18"/>
      <c r="K299" s="18"/>
      <c r="L299" s="19">
        <f t="shared" ref="L299:L305" si="14">SUM(F299:K299)</f>
        <v>1200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4700</v>
      </c>
      <c r="G300" s="18"/>
      <c r="H300" s="18">
        <v>3338</v>
      </c>
      <c r="I300" s="18">
        <f>979.5</f>
        <v>979.5</v>
      </c>
      <c r="J300" s="18">
        <f>2059.43</f>
        <v>2059.4299999999998</v>
      </c>
      <c r="K300" s="18"/>
      <c r="L300" s="19">
        <f t="shared" si="14"/>
        <v>11076.93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355742.03</v>
      </c>
      <c r="G308" s="42">
        <f t="shared" si="15"/>
        <v>0</v>
      </c>
      <c r="H308" s="42">
        <f t="shared" si="15"/>
        <v>4538</v>
      </c>
      <c r="I308" s="42">
        <f t="shared" si="15"/>
        <v>7445.14</v>
      </c>
      <c r="J308" s="42">
        <f t="shared" si="15"/>
        <v>47651.13</v>
      </c>
      <c r="K308" s="42">
        <f t="shared" si="15"/>
        <v>0</v>
      </c>
      <c r="L308" s="41">
        <f t="shared" si="15"/>
        <v>415376.3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376.97</v>
      </c>
      <c r="J313" s="18"/>
      <c r="K313" s="18"/>
      <c r="L313" s="19">
        <f>SUM(F313:K313)</f>
        <v>376.97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376548.33+502.25</f>
        <v>377050.58</v>
      </c>
      <c r="G314" s="18"/>
      <c r="H314" s="18">
        <v>34780</v>
      </c>
      <c r="I314" s="18">
        <f>12832.3+1017.14+1527.34+14657.56+1113.81</f>
        <v>31148.149999999998</v>
      </c>
      <c r="J314" s="18">
        <f>936.95+2081.36+27508.63</f>
        <v>30526.940000000002</v>
      </c>
      <c r="K314" s="18"/>
      <c r="L314" s="19">
        <f>SUM(F314:K314)</f>
        <v>473505.67000000004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15283.34</v>
      </c>
      <c r="G318" s="18"/>
      <c r="H318" s="18"/>
      <c r="I318" s="18"/>
      <c r="J318" s="18"/>
      <c r="K318" s="18"/>
      <c r="L318" s="19">
        <f t="shared" ref="L318:L324" si="16">SUM(F318:K318)</f>
        <v>15283.34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>
        <f>1387.63</f>
        <v>1387.63</v>
      </c>
      <c r="J319" s="18">
        <v>2917.53</v>
      </c>
      <c r="K319" s="18"/>
      <c r="L319" s="19">
        <f t="shared" si="16"/>
        <v>4305.16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392333.92000000004</v>
      </c>
      <c r="G327" s="42">
        <f t="shared" si="17"/>
        <v>0</v>
      </c>
      <c r="H327" s="42">
        <f t="shared" si="17"/>
        <v>34780</v>
      </c>
      <c r="I327" s="42">
        <f t="shared" si="17"/>
        <v>32912.75</v>
      </c>
      <c r="J327" s="42">
        <f t="shared" si="17"/>
        <v>33444.47</v>
      </c>
      <c r="K327" s="42">
        <f t="shared" si="17"/>
        <v>0</v>
      </c>
      <c r="L327" s="41">
        <f t="shared" si="17"/>
        <v>493471.14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22942.5</v>
      </c>
      <c r="I331" s="18"/>
      <c r="J331" s="18"/>
      <c r="K331" s="18"/>
      <c r="L331" s="19">
        <f t="shared" ref="L331:L336" si="18">SUM(F331:K331)</f>
        <v>22942.5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17085</v>
      </c>
      <c r="G332" s="18">
        <v>3216.62</v>
      </c>
      <c r="H332" s="18">
        <v>4655</v>
      </c>
      <c r="I332" s="18">
        <v>16099.14</v>
      </c>
      <c r="J332" s="18">
        <v>31054.44</v>
      </c>
      <c r="K332" s="18"/>
      <c r="L332" s="19">
        <f t="shared" si="18"/>
        <v>72110.2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17085</v>
      </c>
      <c r="G336" s="41">
        <f t="shared" si="19"/>
        <v>3216.62</v>
      </c>
      <c r="H336" s="41">
        <f t="shared" si="19"/>
        <v>27597.5</v>
      </c>
      <c r="I336" s="41">
        <f t="shared" si="19"/>
        <v>16099.14</v>
      </c>
      <c r="J336" s="41">
        <f t="shared" si="19"/>
        <v>31054.44</v>
      </c>
      <c r="K336" s="41">
        <f t="shared" si="19"/>
        <v>0</v>
      </c>
      <c r="L336" s="41">
        <f t="shared" si="18"/>
        <v>95052.7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1892276.6800000002</v>
      </c>
      <c r="G337" s="41">
        <f t="shared" si="20"/>
        <v>5637.1</v>
      </c>
      <c r="H337" s="41">
        <f t="shared" si="20"/>
        <v>70082.929999999993</v>
      </c>
      <c r="I337" s="41">
        <f t="shared" si="20"/>
        <v>133054.71999999997</v>
      </c>
      <c r="J337" s="41">
        <f t="shared" si="20"/>
        <v>210884.58000000002</v>
      </c>
      <c r="K337" s="41">
        <f t="shared" si="20"/>
        <v>0</v>
      </c>
      <c r="L337" s="41">
        <f t="shared" si="20"/>
        <v>2311936.0100000002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1892276.6800000002</v>
      </c>
      <c r="G351" s="41">
        <f>G337</f>
        <v>5637.1</v>
      </c>
      <c r="H351" s="41">
        <f>H337</f>
        <v>70082.929999999993</v>
      </c>
      <c r="I351" s="41">
        <f>I337</f>
        <v>133054.71999999997</v>
      </c>
      <c r="J351" s="41">
        <f>J337</f>
        <v>210884.58000000002</v>
      </c>
      <c r="K351" s="47">
        <f>K337+K350</f>
        <v>0</v>
      </c>
      <c r="L351" s="41">
        <f>L337+L350</f>
        <v>2311936.0100000002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141118.71+41491.66</f>
        <v>182610.37</v>
      </c>
      <c r="G357" s="18">
        <v>27204.74</v>
      </c>
      <c r="H357" s="18">
        <v>4655.71</v>
      </c>
      <c r="I357" s="18">
        <v>220081.8</v>
      </c>
      <c r="J357" s="18"/>
      <c r="K357" s="18">
        <v>418.85</v>
      </c>
      <c r="L357" s="13">
        <f>SUM(F357:K357)</f>
        <v>434971.47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130871.14+23709.52</f>
        <v>154580.66</v>
      </c>
      <c r="G358" s="18">
        <v>22909.25</v>
      </c>
      <c r="H358" s="18">
        <v>2660.4</v>
      </c>
      <c r="I358" s="18">
        <f>227417.86+218.94</f>
        <v>227636.8</v>
      </c>
      <c r="J358" s="18">
        <v>494.5</v>
      </c>
      <c r="K358" s="18">
        <v>239.34</v>
      </c>
      <c r="L358" s="19">
        <f>SUM(F358:K358)</f>
        <v>408520.95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110753.51+33588.49</f>
        <v>144342</v>
      </c>
      <c r="G359" s="18">
        <v>21477.42</v>
      </c>
      <c r="H359" s="18">
        <v>3768.91</v>
      </c>
      <c r="I359" s="18">
        <v>286106.33</v>
      </c>
      <c r="J359" s="18"/>
      <c r="K359" s="18">
        <f>17200+339.06</f>
        <v>17539.060000000001</v>
      </c>
      <c r="L359" s="19">
        <f>SUM(F359:K359)</f>
        <v>473233.72000000003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481533.03</v>
      </c>
      <c r="G361" s="47">
        <f t="shared" si="22"/>
        <v>71591.41</v>
      </c>
      <c r="H361" s="47">
        <f t="shared" si="22"/>
        <v>11085.02</v>
      </c>
      <c r="I361" s="47">
        <f t="shared" si="22"/>
        <v>733824.92999999993</v>
      </c>
      <c r="J361" s="47">
        <f t="shared" si="22"/>
        <v>494.5</v>
      </c>
      <c r="K361" s="47">
        <f t="shared" si="22"/>
        <v>18197.25</v>
      </c>
      <c r="L361" s="47">
        <f t="shared" si="22"/>
        <v>1316726.1399999999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200134.16</v>
      </c>
      <c r="G366" s="18">
        <v>206805.3</v>
      </c>
      <c r="H366" s="18">
        <v>260174.41</v>
      </c>
      <c r="I366" s="56">
        <f>SUM(F366:H366)</f>
        <v>667113.87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20013.32</v>
      </c>
      <c r="G367" s="63">
        <v>20680.43</v>
      </c>
      <c r="H367" s="63">
        <v>26017.31</v>
      </c>
      <c r="I367" s="56">
        <f>SUM(F367:H367)</f>
        <v>66711.06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220147.48</v>
      </c>
      <c r="G368" s="47">
        <f>SUM(G366:G367)</f>
        <v>227485.72999999998</v>
      </c>
      <c r="H368" s="47">
        <f>SUM(H366:H367)</f>
        <v>286191.72000000003</v>
      </c>
      <c r="I368" s="47">
        <f>SUM(I366:I367)</f>
        <v>733824.92999999993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14.09</v>
      </c>
      <c r="I391" s="18"/>
      <c r="J391" s="24" t="s">
        <v>289</v>
      </c>
      <c r="K391" s="24" t="s">
        <v>289</v>
      </c>
      <c r="L391" s="56">
        <f t="shared" si="25"/>
        <v>14.09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14.09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14.09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325000</v>
      </c>
      <c r="H395" s="18">
        <v>202.15</v>
      </c>
      <c r="I395" s="18"/>
      <c r="J395" s="24" t="s">
        <v>289</v>
      </c>
      <c r="K395" s="24" t="s">
        <v>289</v>
      </c>
      <c r="L395" s="56">
        <f t="shared" si="26"/>
        <v>325202.15000000002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47.83</v>
      </c>
      <c r="I396" s="18"/>
      <c r="J396" s="24" t="s">
        <v>289</v>
      </c>
      <c r="K396" s="24" t="s">
        <v>289</v>
      </c>
      <c r="L396" s="56">
        <f t="shared" si="26"/>
        <v>47.83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325000</v>
      </c>
      <c r="H400" s="47">
        <f>SUM(H394:H399)</f>
        <v>249.98000000000002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325249.98000000004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325000</v>
      </c>
      <c r="H407" s="47">
        <f>H392+H400+H406</f>
        <v>264.07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325264.07000000007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432006.9</v>
      </c>
      <c r="L421" s="56">
        <f t="shared" si="29"/>
        <v>432006.9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432006.9</v>
      </c>
      <c r="L426" s="47">
        <f t="shared" si="30"/>
        <v>432006.9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432006.9</v>
      </c>
      <c r="L433" s="47">
        <f t="shared" si="32"/>
        <v>432006.9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30796.27</v>
      </c>
      <c r="G438" s="18">
        <v>290352.17</v>
      </c>
      <c r="H438" s="18"/>
      <c r="I438" s="56">
        <f t="shared" ref="I438:I444" si="33">SUM(F438:H438)</f>
        <v>321148.44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30796.27</v>
      </c>
      <c r="G445" s="13">
        <f>SUM(G438:G444)</f>
        <v>290352.17</v>
      </c>
      <c r="H445" s="13">
        <f>SUM(H438:H444)</f>
        <v>0</v>
      </c>
      <c r="I445" s="13">
        <f>SUM(I438:I444)</f>
        <v>321148.44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122712.46</v>
      </c>
      <c r="H447" s="18"/>
      <c r="I447" s="56">
        <f>SUM(F447:H447)</f>
        <v>122712.46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122712.46</v>
      </c>
      <c r="H451" s="72">
        <f>SUM(H447:H450)</f>
        <v>0</v>
      </c>
      <c r="I451" s="72">
        <f>SUM(I447:I450)</f>
        <v>122712.46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30796.27</v>
      </c>
      <c r="G458" s="18">
        <v>167639.71</v>
      </c>
      <c r="H458" s="18"/>
      <c r="I458" s="56">
        <f t="shared" si="34"/>
        <v>198435.97999999998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30796.27</v>
      </c>
      <c r="G459" s="83">
        <f>SUM(G453:G458)</f>
        <v>167639.71</v>
      </c>
      <c r="H459" s="83">
        <f>SUM(H453:H458)</f>
        <v>0</v>
      </c>
      <c r="I459" s="83">
        <f>SUM(I453:I458)</f>
        <v>198435.97999999998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30796.27</v>
      </c>
      <c r="G460" s="42">
        <f>G451+G459</f>
        <v>290352.17</v>
      </c>
      <c r="H460" s="42">
        <f>H451+H459</f>
        <v>0</v>
      </c>
      <c r="I460" s="42">
        <f>I451+I459</f>
        <v>321148.44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342779.22</v>
      </c>
      <c r="G464" s="18">
        <v>24499.42</v>
      </c>
      <c r="H464" s="18">
        <v>76469.17</v>
      </c>
      <c r="I464" s="18">
        <v>0</v>
      </c>
      <c r="J464" s="18">
        <v>305178.81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65596078.619999997</v>
      </c>
      <c r="G467" s="18">
        <v>1320833.8600000001</v>
      </c>
      <c r="H467" s="18">
        <v>2312434.5</v>
      </c>
      <c r="I467" s="18"/>
      <c r="J467" s="18">
        <v>325264.07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65596078.619999997</v>
      </c>
      <c r="G469" s="53">
        <f>SUM(G467:G468)</f>
        <v>1320833.8600000001</v>
      </c>
      <c r="H469" s="53">
        <f>SUM(H467:H468)</f>
        <v>2312434.5</v>
      </c>
      <c r="I469" s="53">
        <f>SUM(I467:I468)</f>
        <v>0</v>
      </c>
      <c r="J469" s="53">
        <f>SUM(J467:J468)</f>
        <v>325264.07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64878412.630000003</v>
      </c>
      <c r="G471" s="18">
        <v>1316726.1399999999</v>
      </c>
      <c r="H471" s="18">
        <v>2311936.0099999998</v>
      </c>
      <c r="I471" s="18"/>
      <c r="J471" s="18">
        <v>432006.9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64878412.630000003</v>
      </c>
      <c r="G473" s="53">
        <f>SUM(G471:G472)</f>
        <v>1316726.1399999999</v>
      </c>
      <c r="H473" s="53">
        <f>SUM(H471:H472)</f>
        <v>2311936.0099999998</v>
      </c>
      <c r="I473" s="53">
        <f>SUM(I471:I472)</f>
        <v>0</v>
      </c>
      <c r="J473" s="53">
        <f>SUM(J471:J472)</f>
        <v>432006.9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1060445.2099999934</v>
      </c>
      <c r="G475" s="53">
        <f>(G464+G469)- G473</f>
        <v>28607.14000000013</v>
      </c>
      <c r="H475" s="53">
        <f>(H464+H469)- H473</f>
        <v>76967.660000000149</v>
      </c>
      <c r="I475" s="53">
        <f>(I464+I469)- I473</f>
        <v>0</v>
      </c>
      <c r="J475" s="53">
        <f>(J464+J469)- J473</f>
        <v>198435.97999999998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13</v>
      </c>
      <c r="H489" s="154">
        <v>20</v>
      </c>
      <c r="I489" s="154">
        <v>20</v>
      </c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913</v>
      </c>
      <c r="I490" s="155" t="s">
        <v>915</v>
      </c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914</v>
      </c>
      <c r="I491" s="155" t="s">
        <v>916</v>
      </c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12030000</v>
      </c>
      <c r="G492" s="18">
        <v>6935000</v>
      </c>
      <c r="H492" s="18">
        <v>5500000</v>
      </c>
      <c r="I492" s="18">
        <v>5100000</v>
      </c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4.57</v>
      </c>
      <c r="G493" s="18">
        <v>3.25</v>
      </c>
      <c r="H493" s="18">
        <v>3.9</v>
      </c>
      <c r="I493" s="18">
        <v>4.09</v>
      </c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8010000</v>
      </c>
      <c r="G494" s="18">
        <v>3020000</v>
      </c>
      <c r="H494" s="18">
        <v>4125000</v>
      </c>
      <c r="I494" s="18">
        <v>4590000</v>
      </c>
      <c r="J494" s="18"/>
      <c r="K494" s="53">
        <f>SUM(F494:J494)</f>
        <v>19745000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670000</v>
      </c>
      <c r="G496" s="18">
        <v>525000</v>
      </c>
      <c r="H496" s="18">
        <v>275000</v>
      </c>
      <c r="I496" s="18">
        <v>255000</v>
      </c>
      <c r="J496" s="18"/>
      <c r="K496" s="53">
        <f t="shared" si="35"/>
        <v>1725000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7340000</v>
      </c>
      <c r="G497" s="205">
        <v>2495000</v>
      </c>
      <c r="H497" s="205">
        <v>3850000</v>
      </c>
      <c r="I497" s="205">
        <v>4335000</v>
      </c>
      <c r="J497" s="205"/>
      <c r="K497" s="206">
        <f t="shared" si="35"/>
        <v>18020000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1940200.75</v>
      </c>
      <c r="G498" s="18">
        <v>244568.75</v>
      </c>
      <c r="H498" s="18">
        <v>1079512.5</v>
      </c>
      <c r="I498" s="18">
        <v>1511990.67</v>
      </c>
      <c r="J498" s="18"/>
      <c r="K498" s="53">
        <f t="shared" si="35"/>
        <v>4776272.67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9280200.75</v>
      </c>
      <c r="G499" s="42">
        <f>SUM(G497:G498)</f>
        <v>2739568.75</v>
      </c>
      <c r="H499" s="42">
        <f>SUM(H497:H498)</f>
        <v>4929512.5</v>
      </c>
      <c r="I499" s="42">
        <f>SUM(I497:I498)</f>
        <v>5846990.6699999999</v>
      </c>
      <c r="J499" s="42">
        <f>SUM(J497:J498)</f>
        <v>0</v>
      </c>
      <c r="K499" s="42">
        <f t="shared" si="35"/>
        <v>22796272.670000002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670000</v>
      </c>
      <c r="G500" s="205">
        <v>515000</v>
      </c>
      <c r="H500" s="205">
        <v>275000</v>
      </c>
      <c r="I500" s="205">
        <v>255000</v>
      </c>
      <c r="J500" s="205"/>
      <c r="K500" s="206">
        <f t="shared" si="35"/>
        <v>1715000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329175</v>
      </c>
      <c r="G501" s="18">
        <v>87568.75</v>
      </c>
      <c r="H501" s="18">
        <v>145337.5</v>
      </c>
      <c r="I501" s="18">
        <v>171806.26</v>
      </c>
      <c r="J501" s="18"/>
      <c r="K501" s="53">
        <f t="shared" si="35"/>
        <v>733887.51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999175</v>
      </c>
      <c r="G502" s="42">
        <f>SUM(G500:G501)</f>
        <v>602568.75</v>
      </c>
      <c r="H502" s="42">
        <f>SUM(H500:H501)</f>
        <v>420337.5</v>
      </c>
      <c r="I502" s="42">
        <f>SUM(I500:I501)</f>
        <v>426806.26</v>
      </c>
      <c r="J502" s="42">
        <f>SUM(J500:J501)</f>
        <v>0</v>
      </c>
      <c r="K502" s="42">
        <f t="shared" si="35"/>
        <v>2448887.5099999998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2091157</v>
      </c>
      <c r="G506" s="144"/>
      <c r="H506" s="144"/>
      <c r="I506" s="144">
        <v>2524107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2015261.19+1458919.21+16052.52+135337.07</f>
        <v>3625569.9899999998</v>
      </c>
      <c r="G520" s="18">
        <f>1210.24+1486483.7</f>
        <v>1487693.94</v>
      </c>
      <c r="H520" s="18">
        <f>189994.49+9916.13</f>
        <v>199910.62</v>
      </c>
      <c r="I520" s="18">
        <f>20056.79+13528.98+62434.54</f>
        <v>96020.31</v>
      </c>
      <c r="J520" s="18">
        <f>47357.75+122655.48</f>
        <v>170013.22999999998</v>
      </c>
      <c r="K520" s="18">
        <f>704</f>
        <v>704</v>
      </c>
      <c r="L520" s="88">
        <f>SUM(F520:K520)</f>
        <v>5579912.0899999999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853851.87+432716.46+53669.68</f>
        <v>1340238.01</v>
      </c>
      <c r="G521" s="18">
        <f>1210.24+549497.58</f>
        <v>550707.81999999995</v>
      </c>
      <c r="H521" s="18">
        <f>181498.37+10468.11+6286.36</f>
        <v>198252.83999999997</v>
      </c>
      <c r="I521" s="18">
        <f>52.48+3653.32+9772.05</f>
        <v>13477.849999999999</v>
      </c>
      <c r="J521" s="18">
        <f>2329</f>
        <v>2329</v>
      </c>
      <c r="K521" s="18"/>
      <c r="L521" s="88">
        <f>SUM(F521:K521)</f>
        <v>2105005.52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1495325.14+464923.59+62448.51</f>
        <v>2022697.24</v>
      </c>
      <c r="G522" s="18">
        <f>829305.87</f>
        <v>829305.87</v>
      </c>
      <c r="H522" s="18">
        <f>34780+48321.88+926429.33+40045.89+9887.34</f>
        <v>1059464.44</v>
      </c>
      <c r="I522" s="18">
        <f>12832.3+5997.14+22734.5</f>
        <v>41563.94</v>
      </c>
      <c r="J522" s="18">
        <f>936.95</f>
        <v>936.95</v>
      </c>
      <c r="K522" s="18"/>
      <c r="L522" s="88">
        <f>SUM(F522:K522)</f>
        <v>3953968.44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6988505.2400000002</v>
      </c>
      <c r="G523" s="108">
        <f t="shared" ref="G523:L523" si="36">SUM(G520:G522)</f>
        <v>2867707.63</v>
      </c>
      <c r="H523" s="108">
        <f t="shared" si="36"/>
        <v>1457627.9</v>
      </c>
      <c r="I523" s="108">
        <f t="shared" si="36"/>
        <v>151062.1</v>
      </c>
      <c r="J523" s="108">
        <f t="shared" si="36"/>
        <v>173279.18</v>
      </c>
      <c r="K523" s="108">
        <f t="shared" si="36"/>
        <v>704</v>
      </c>
      <c r="L523" s="89">
        <f t="shared" si="36"/>
        <v>11638886.049999999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646329.39+29559.96+3787.5+735852.07</f>
        <v>1415528.92</v>
      </c>
      <c r="G525" s="18">
        <f>580366.86</f>
        <v>580366.86</v>
      </c>
      <c r="H525" s="18">
        <f>2200+87103.39</f>
        <v>89303.39</v>
      </c>
      <c r="I525" s="18">
        <f>979.69</f>
        <v>979.69</v>
      </c>
      <c r="J525" s="18"/>
      <c r="K525" s="18">
        <f>197.61</f>
        <v>197.61</v>
      </c>
      <c r="L525" s="88">
        <f>SUM(F525:K525)</f>
        <v>2086376.4699999997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41674.08+118687.04+88337.18</f>
        <v>248698.3</v>
      </c>
      <c r="G526" s="18">
        <f>101966.3</f>
        <v>101966.3</v>
      </c>
      <c r="H526" s="18">
        <f>1200+102168.39</f>
        <v>103368.39</v>
      </c>
      <c r="I526" s="18">
        <f>559.82</f>
        <v>559.82000000000005</v>
      </c>
      <c r="J526" s="18"/>
      <c r="K526" s="18">
        <f>112.92</f>
        <v>112.92</v>
      </c>
      <c r="L526" s="88">
        <f>SUM(F526:K526)</f>
        <v>454705.73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135085.76+77680.85</f>
        <v>212766.61000000002</v>
      </c>
      <c r="G527" s="18">
        <f>87234.31</f>
        <v>87234.31</v>
      </c>
      <c r="H527" s="18">
        <f>88221.36</f>
        <v>88221.36</v>
      </c>
      <c r="I527" s="18">
        <f>793.08</f>
        <v>793.08</v>
      </c>
      <c r="J527" s="18"/>
      <c r="K527" s="18">
        <f>159.97</f>
        <v>159.97</v>
      </c>
      <c r="L527" s="88">
        <f>SUM(F527:K527)</f>
        <v>389175.33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1876993.83</v>
      </c>
      <c r="G528" s="89">
        <f t="shared" ref="G528:L528" si="37">SUM(G525:G527)</f>
        <v>769567.47</v>
      </c>
      <c r="H528" s="89">
        <f t="shared" si="37"/>
        <v>280893.14</v>
      </c>
      <c r="I528" s="89">
        <f t="shared" si="37"/>
        <v>2332.59</v>
      </c>
      <c r="J528" s="89">
        <f t="shared" si="37"/>
        <v>0</v>
      </c>
      <c r="K528" s="89">
        <f t="shared" si="37"/>
        <v>470.5</v>
      </c>
      <c r="L528" s="89">
        <f t="shared" si="37"/>
        <v>2930257.53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63015.96+73786.59+52881.23</f>
        <v>189683.78</v>
      </c>
      <c r="G530" s="18">
        <f>77770.35</f>
        <v>77770.350000000006</v>
      </c>
      <c r="H530" s="18">
        <f>2643.11</f>
        <v>2643.11</v>
      </c>
      <c r="I530" s="18">
        <f>714.01</f>
        <v>714.01</v>
      </c>
      <c r="J530" s="18"/>
      <c r="K530" s="18"/>
      <c r="L530" s="88">
        <f>SUM(F530:K530)</f>
        <v>270811.25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65999.96+26427.76+30217.84</f>
        <v>122645.56</v>
      </c>
      <c r="G531" s="18">
        <f>50284.68</f>
        <v>50284.68</v>
      </c>
      <c r="H531" s="18">
        <f>1510.35</f>
        <v>1510.35</v>
      </c>
      <c r="I531" s="18">
        <f>408.01</f>
        <v>408.01</v>
      </c>
      <c r="J531" s="18"/>
      <c r="K531" s="18"/>
      <c r="L531" s="88">
        <f>SUM(F531:K531)</f>
        <v>174848.6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85487.05+24340.71+42808.61</f>
        <v>152636.37</v>
      </c>
      <c r="G532" s="18">
        <f>62580.91</f>
        <v>62580.91</v>
      </c>
      <c r="H532" s="18">
        <f>2139.66</f>
        <v>2139.66</v>
      </c>
      <c r="I532" s="18">
        <f>578.01</f>
        <v>578.01</v>
      </c>
      <c r="J532" s="18"/>
      <c r="K532" s="18"/>
      <c r="L532" s="88">
        <f>SUM(F532:K532)</f>
        <v>217934.95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464965.70999999996</v>
      </c>
      <c r="G533" s="89">
        <f t="shared" ref="G533:L533" si="38">SUM(G530:G532)</f>
        <v>190635.94</v>
      </c>
      <c r="H533" s="89">
        <f t="shared" si="38"/>
        <v>6293.12</v>
      </c>
      <c r="I533" s="89">
        <f t="shared" si="38"/>
        <v>1700.03</v>
      </c>
      <c r="J533" s="89">
        <f t="shared" si="38"/>
        <v>0</v>
      </c>
      <c r="K533" s="89">
        <f t="shared" si="38"/>
        <v>0</v>
      </c>
      <c r="L533" s="89">
        <f t="shared" si="38"/>
        <v>663594.80000000005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7959.95</v>
      </c>
      <c r="I535" s="18"/>
      <c r="J535" s="18"/>
      <c r="K535" s="18"/>
      <c r="L535" s="88">
        <f>SUM(F535:K535)</f>
        <v>7959.95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4548.55</v>
      </c>
      <c r="I536" s="18"/>
      <c r="J536" s="18"/>
      <c r="K536" s="18"/>
      <c r="L536" s="88">
        <f>SUM(F536:K536)</f>
        <v>4548.55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6443.78</v>
      </c>
      <c r="I537" s="18"/>
      <c r="J537" s="18"/>
      <c r="K537" s="18"/>
      <c r="L537" s="88">
        <f>SUM(F537:K537)</f>
        <v>6443.78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18952.28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18952.28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625843.62</v>
      </c>
      <c r="I540" s="18"/>
      <c r="J540" s="18"/>
      <c r="K540" s="18"/>
      <c r="L540" s="88">
        <f>SUM(F540:K540)</f>
        <v>625843.62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83445.820000000007</v>
      </c>
      <c r="I541" s="18"/>
      <c r="J541" s="18"/>
      <c r="K541" s="18"/>
      <c r="L541" s="88">
        <f>SUM(F541:K541)</f>
        <v>83445.820000000007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125168.73</v>
      </c>
      <c r="I542" s="18"/>
      <c r="J542" s="18"/>
      <c r="K542" s="18"/>
      <c r="L542" s="88">
        <f>SUM(F542:K542)</f>
        <v>125168.73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834458.16999999993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834458.16999999993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9330464.7800000012</v>
      </c>
      <c r="G544" s="89">
        <f t="shared" ref="G544:L544" si="41">G523+G528+G533+G538+G543</f>
        <v>3827911.0399999996</v>
      </c>
      <c r="H544" s="89">
        <f t="shared" si="41"/>
        <v>2598224.6100000003</v>
      </c>
      <c r="I544" s="89">
        <f t="shared" si="41"/>
        <v>155094.72</v>
      </c>
      <c r="J544" s="89">
        <f t="shared" si="41"/>
        <v>173279.18</v>
      </c>
      <c r="K544" s="89">
        <f t="shared" si="41"/>
        <v>1174.5</v>
      </c>
      <c r="L544" s="89">
        <f t="shared" si="41"/>
        <v>16086148.829999998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5579912.0899999999</v>
      </c>
      <c r="G548" s="87">
        <f>L525</f>
        <v>2086376.4699999997</v>
      </c>
      <c r="H548" s="87">
        <f>L530</f>
        <v>270811.25</v>
      </c>
      <c r="I548" s="87">
        <f>L535</f>
        <v>7959.95</v>
      </c>
      <c r="J548" s="87">
        <f>L540</f>
        <v>625843.62</v>
      </c>
      <c r="K548" s="87">
        <f>SUM(F548:J548)</f>
        <v>8570903.379999999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2105005.52</v>
      </c>
      <c r="G549" s="87">
        <f>L526</f>
        <v>454705.73</v>
      </c>
      <c r="H549" s="87">
        <f>L531</f>
        <v>174848.6</v>
      </c>
      <c r="I549" s="87">
        <f>L536</f>
        <v>4548.55</v>
      </c>
      <c r="J549" s="87">
        <f>L541</f>
        <v>83445.820000000007</v>
      </c>
      <c r="K549" s="87">
        <f>SUM(F549:J549)</f>
        <v>2822554.2199999997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3953968.44</v>
      </c>
      <c r="G550" s="87">
        <f>L527</f>
        <v>389175.33</v>
      </c>
      <c r="H550" s="87">
        <f>L532</f>
        <v>217934.95</v>
      </c>
      <c r="I550" s="87">
        <f>L537</f>
        <v>6443.78</v>
      </c>
      <c r="J550" s="87">
        <f>L542</f>
        <v>125168.73</v>
      </c>
      <c r="K550" s="87">
        <f>SUM(F550:J550)</f>
        <v>4692691.2300000004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11638886.049999999</v>
      </c>
      <c r="G551" s="89">
        <f t="shared" si="42"/>
        <v>2930257.53</v>
      </c>
      <c r="H551" s="89">
        <f t="shared" si="42"/>
        <v>663594.80000000005</v>
      </c>
      <c r="I551" s="89">
        <f t="shared" si="42"/>
        <v>18952.28</v>
      </c>
      <c r="J551" s="89">
        <f t="shared" si="42"/>
        <v>834458.16999999993</v>
      </c>
      <c r="K551" s="89">
        <f t="shared" si="42"/>
        <v>16086148.829999998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315362.96000000002</v>
      </c>
      <c r="G556" s="18">
        <v>133155.26999999999</v>
      </c>
      <c r="H556" s="18"/>
      <c r="I556" s="18"/>
      <c r="J556" s="18"/>
      <c r="K556" s="18"/>
      <c r="L556" s="88">
        <f>SUM(F556:K556)</f>
        <v>448518.23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315362.96000000002</v>
      </c>
      <c r="G559" s="108">
        <f t="shared" si="43"/>
        <v>133155.26999999999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448518.23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62566.03</v>
      </c>
      <c r="G561" s="18">
        <v>26417.23</v>
      </c>
      <c r="H561" s="18"/>
      <c r="I561" s="18">
        <v>128.26</v>
      </c>
      <c r="J561" s="18"/>
      <c r="K561" s="18"/>
      <c r="L561" s="88">
        <f>SUM(F561:K561)</f>
        <v>89111.51999999999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13407.01</v>
      </c>
      <c r="G562" s="18">
        <v>5660.84</v>
      </c>
      <c r="H562" s="18"/>
      <c r="I562" s="18">
        <v>64.14</v>
      </c>
      <c r="J562" s="18"/>
      <c r="K562" s="18"/>
      <c r="L562" s="88">
        <f>SUM(F562:K562)</f>
        <v>19131.989999999998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13407.01</v>
      </c>
      <c r="G563" s="18">
        <v>5660.84</v>
      </c>
      <c r="H563" s="18"/>
      <c r="I563" s="18">
        <v>64.14</v>
      </c>
      <c r="J563" s="18"/>
      <c r="K563" s="18"/>
      <c r="L563" s="88">
        <f>SUM(F563:K563)</f>
        <v>19131.989999999998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89380.049999999988</v>
      </c>
      <c r="G564" s="89">
        <f t="shared" si="44"/>
        <v>37738.910000000003</v>
      </c>
      <c r="H564" s="89">
        <f t="shared" si="44"/>
        <v>0</v>
      </c>
      <c r="I564" s="89">
        <f t="shared" si="44"/>
        <v>256.53999999999996</v>
      </c>
      <c r="J564" s="89">
        <f t="shared" si="44"/>
        <v>0</v>
      </c>
      <c r="K564" s="89">
        <f t="shared" si="44"/>
        <v>0</v>
      </c>
      <c r="L564" s="89">
        <f t="shared" si="44"/>
        <v>127375.49999999997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6369.5+112837.39+91016.85+90157.57</f>
        <v>300381.31</v>
      </c>
      <c r="G566" s="18">
        <v>126829.93</v>
      </c>
      <c r="H566" s="18">
        <f>273.14+2500</f>
        <v>2773.14</v>
      </c>
      <c r="I566" s="18">
        <f>2842.28-0.01</f>
        <v>2842.27</v>
      </c>
      <c r="J566" s="18"/>
      <c r="K566" s="18">
        <v>2719.5</v>
      </c>
      <c r="L566" s="88">
        <f>SUM(F566:K566)</f>
        <v>435546.15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f>6369.5+165729.56</f>
        <v>172099.06</v>
      </c>
      <c r="G567" s="18">
        <v>2689.39</v>
      </c>
      <c r="H567" s="18">
        <v>2773.14</v>
      </c>
      <c r="I567" s="18">
        <f>2842.28+7119.83-0.01</f>
        <v>9962.1</v>
      </c>
      <c r="J567" s="18"/>
      <c r="K567" s="18">
        <v>2719.5</v>
      </c>
      <c r="L567" s="88">
        <f>SUM(F567:K567)</f>
        <v>190243.19000000003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472480.37</v>
      </c>
      <c r="G569" s="194">
        <f t="shared" ref="G569:L569" si="45">SUM(G566:G568)</f>
        <v>129519.31999999999</v>
      </c>
      <c r="H569" s="194">
        <f t="shared" si="45"/>
        <v>5546.28</v>
      </c>
      <c r="I569" s="194">
        <f t="shared" si="45"/>
        <v>12804.37</v>
      </c>
      <c r="J569" s="194">
        <f t="shared" si="45"/>
        <v>0</v>
      </c>
      <c r="K569" s="194">
        <f t="shared" si="45"/>
        <v>5439</v>
      </c>
      <c r="L569" s="194">
        <f t="shared" si="45"/>
        <v>625789.34000000008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877223.38</v>
      </c>
      <c r="G570" s="89">
        <f t="shared" ref="G570:L570" si="46">G559+G564+G569</f>
        <v>300413.5</v>
      </c>
      <c r="H570" s="89">
        <f t="shared" si="46"/>
        <v>5546.28</v>
      </c>
      <c r="I570" s="89">
        <f t="shared" si="46"/>
        <v>13060.91</v>
      </c>
      <c r="J570" s="89">
        <f t="shared" si="46"/>
        <v>0</v>
      </c>
      <c r="K570" s="89">
        <f t="shared" si="46"/>
        <v>5439</v>
      </c>
      <c r="L570" s="89">
        <f t="shared" si="46"/>
        <v>1201683.07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48321.88</v>
      </c>
      <c r="I578" s="87">
        <f t="shared" si="47"/>
        <v>48321.88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189994.49</v>
      </c>
      <c r="G581" s="18">
        <f>181498.37+10468.11</f>
        <v>191966.47999999998</v>
      </c>
      <c r="H581" s="18">
        <f>926429.33+40045.89</f>
        <v>966475.22</v>
      </c>
      <c r="I581" s="87">
        <f t="shared" si="47"/>
        <v>1348436.19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199595.54</v>
      </c>
      <c r="I583" s="87">
        <f t="shared" si="47"/>
        <v>199595.54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805982.42</v>
      </c>
      <c r="I590" s="18">
        <v>604486.81000000006</v>
      </c>
      <c r="J590" s="18">
        <v>528866.81000000006</v>
      </c>
      <c r="K590" s="104">
        <f t="shared" ref="K590:K596" si="48">SUM(H590:J590)</f>
        <v>1939336.04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625843.62</v>
      </c>
      <c r="I591" s="18">
        <v>83445.820000000007</v>
      </c>
      <c r="J591" s="18">
        <v>125168.73</v>
      </c>
      <c r="K591" s="104">
        <f t="shared" si="48"/>
        <v>834458.16999999993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75620</v>
      </c>
      <c r="K592" s="104">
        <f t="shared" si="48"/>
        <v>75620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18024.27</v>
      </c>
      <c r="J593" s="18">
        <v>77566.649999999994</v>
      </c>
      <c r="K593" s="104">
        <f t="shared" si="48"/>
        <v>95590.92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1820.34</v>
      </c>
      <c r="I594" s="18">
        <v>1163.6400000000001</v>
      </c>
      <c r="J594" s="18">
        <f>338.88+10425.89</f>
        <v>10764.769999999999</v>
      </c>
      <c r="K594" s="104">
        <f t="shared" si="48"/>
        <v>13748.749999999998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1433646.3800000001</v>
      </c>
      <c r="I597" s="108">
        <f>SUM(I590:I596)</f>
        <v>707120.54000000015</v>
      </c>
      <c r="J597" s="108">
        <f>SUM(J590:J596)</f>
        <v>817986.96000000008</v>
      </c>
      <c r="K597" s="108">
        <f>SUM(K590:K596)</f>
        <v>2958753.88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373124.66+98734.54+31054.44</f>
        <v>502913.63999999996</v>
      </c>
      <c r="I603" s="18">
        <f>79093.65+47651.13</f>
        <v>126744.78</v>
      </c>
      <c r="J603" s="18">
        <f>349995.18+33444.47</f>
        <v>383439.65</v>
      </c>
      <c r="K603" s="104">
        <f>SUM(H603:J603)</f>
        <v>1013098.07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502913.63999999996</v>
      </c>
      <c r="I604" s="108">
        <f>SUM(I601:I603)</f>
        <v>126744.78</v>
      </c>
      <c r="J604" s="108">
        <f>SUM(J601:J603)</f>
        <v>383439.65</v>
      </c>
      <c r="K604" s="108">
        <f>SUM(K601:K603)</f>
        <v>1013098.07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10772.22+4124.5</f>
        <v>14896.72</v>
      </c>
      <c r="G610" s="18">
        <v>2822.93</v>
      </c>
      <c r="H610" s="18"/>
      <c r="I610" s="18">
        <v>1986.51</v>
      </c>
      <c r="J610" s="18"/>
      <c r="K610" s="18"/>
      <c r="L610" s="88">
        <f>SUM(F610:K610)</f>
        <v>19706.159999999996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1230</v>
      </c>
      <c r="G611" s="18">
        <v>233.09</v>
      </c>
      <c r="H611" s="18"/>
      <c r="I611" s="18"/>
      <c r="J611" s="18"/>
      <c r="K611" s="18"/>
      <c r="L611" s="88">
        <f>SUM(F611:K611)</f>
        <v>1463.09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36478.97</v>
      </c>
      <c r="G612" s="18">
        <v>6912.76</v>
      </c>
      <c r="H612" s="18"/>
      <c r="I612" s="18"/>
      <c r="J612" s="18"/>
      <c r="K612" s="18"/>
      <c r="L612" s="88">
        <f>SUM(F612:K612)</f>
        <v>43391.73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52605.69</v>
      </c>
      <c r="G613" s="108">
        <f t="shared" si="49"/>
        <v>9968.7800000000007</v>
      </c>
      <c r="H613" s="108">
        <f t="shared" si="49"/>
        <v>0</v>
      </c>
      <c r="I613" s="108">
        <f t="shared" si="49"/>
        <v>1986.51</v>
      </c>
      <c r="J613" s="108">
        <f t="shared" si="49"/>
        <v>0</v>
      </c>
      <c r="K613" s="108">
        <f t="shared" si="49"/>
        <v>0</v>
      </c>
      <c r="L613" s="89">
        <f t="shared" si="49"/>
        <v>64560.979999999996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2230082.9900000002</v>
      </c>
      <c r="H616" s="109">
        <f>SUM(F51)</f>
        <v>2230082.9900000002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76887.81</v>
      </c>
      <c r="H617" s="109">
        <f>SUM(G51)</f>
        <v>76887.81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462077.84</v>
      </c>
      <c r="H618" s="109">
        <f>SUM(H51)</f>
        <v>462077.83999999997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321148.44</v>
      </c>
      <c r="H620" s="109">
        <f>SUM(J51)</f>
        <v>321148.44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1060445.21</v>
      </c>
      <c r="H621" s="109">
        <f>F475</f>
        <v>1060445.2099999934</v>
      </c>
      <c r="I621" s="121" t="s">
        <v>101</v>
      </c>
      <c r="J621" s="109">
        <f t="shared" ref="J621:J654" si="50">G621-H621</f>
        <v>6.5192580223083496E-9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28607.14</v>
      </c>
      <c r="H622" s="109">
        <f>G475</f>
        <v>28607.14000000013</v>
      </c>
      <c r="I622" s="121" t="s">
        <v>102</v>
      </c>
      <c r="J622" s="109">
        <f t="shared" si="50"/>
        <v>-1.3096723705530167E-10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76967.66</v>
      </c>
      <c r="H623" s="109">
        <f>H475</f>
        <v>76967.660000000149</v>
      </c>
      <c r="I623" s="121" t="s">
        <v>103</v>
      </c>
      <c r="J623" s="109">
        <f t="shared" si="50"/>
        <v>-1.4551915228366852E-10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198435.97999999998</v>
      </c>
      <c r="H625" s="109">
        <f>J475</f>
        <v>198435.97999999998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65596078.620000005</v>
      </c>
      <c r="H626" s="104">
        <f>SUM(F467)</f>
        <v>65596078.619999997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1320833.8600000001</v>
      </c>
      <c r="H627" s="104">
        <f>SUM(G467)</f>
        <v>1320833.8600000001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2312434.5</v>
      </c>
      <c r="H628" s="104">
        <f>SUM(H467)</f>
        <v>2312434.5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325264.07</v>
      </c>
      <c r="H630" s="104">
        <f>SUM(J467)</f>
        <v>325264.07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64878412.629999988</v>
      </c>
      <c r="H631" s="104">
        <f>SUM(F471)</f>
        <v>64878412.630000003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2311936.0100000002</v>
      </c>
      <c r="H632" s="104">
        <f>SUM(H471)</f>
        <v>2311936.0099999998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733824.92999999993</v>
      </c>
      <c r="H633" s="104">
        <f>I368</f>
        <v>733824.92999999993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1316726.1399999999</v>
      </c>
      <c r="H634" s="104">
        <f>SUM(G471)</f>
        <v>1316726.1399999999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325264.07000000007</v>
      </c>
      <c r="H636" s="164">
        <f>SUM(J467)</f>
        <v>325264.07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432006.9</v>
      </c>
      <c r="H637" s="164">
        <f>SUM(J471)</f>
        <v>432006.9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30796.27</v>
      </c>
      <c r="H638" s="104">
        <f>SUM(F460)</f>
        <v>30796.27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290352.17</v>
      </c>
      <c r="H639" s="104">
        <f>SUM(G460)</f>
        <v>290352.17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321148.44</v>
      </c>
      <c r="H641" s="104">
        <f>SUM(I460)</f>
        <v>321148.44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264.07</v>
      </c>
      <c r="H643" s="104">
        <f>H407</f>
        <v>264.07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325000</v>
      </c>
      <c r="H644" s="104">
        <f>G407</f>
        <v>325000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325264.07</v>
      </c>
      <c r="H645" s="104">
        <f>L407</f>
        <v>325264.07000000007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2958753.88</v>
      </c>
      <c r="H646" s="104">
        <f>L207+L225+L243</f>
        <v>2958753.88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1013098.07</v>
      </c>
      <c r="H647" s="104">
        <f>(J256+J337)-(J254+J335)</f>
        <v>1013098.0700000001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1433646.3800000001</v>
      </c>
      <c r="H648" s="104">
        <f>H597</f>
        <v>1433646.3800000001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707120.54</v>
      </c>
      <c r="H649" s="104">
        <f>I597</f>
        <v>707120.54000000015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817986.96000000008</v>
      </c>
      <c r="H650" s="104">
        <f>J597</f>
        <v>817986.96000000008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20118.310000000001</v>
      </c>
      <c r="H651" s="104">
        <f>K262+K344</f>
        <v>20118.310000000001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325000</v>
      </c>
      <c r="H654" s="104">
        <f>K265+K346</f>
        <v>325000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27580697.949999992</v>
      </c>
      <c r="G659" s="19">
        <f>(L228+L308+L358)</f>
        <v>14740961.01</v>
      </c>
      <c r="H659" s="19">
        <f>(L246+L327+L359)</f>
        <v>22842965.189999998</v>
      </c>
      <c r="I659" s="19">
        <f>SUM(F659:H659)</f>
        <v>65164624.149999991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323675.03172746958</v>
      </c>
      <c r="G660" s="19">
        <f>(L358/IF(SUM(L357:L359)=0,1,SUM(L357:L359))*(SUM(G96:G109)))</f>
        <v>303992.42380790174</v>
      </c>
      <c r="H660" s="19">
        <f>(L359/IF(SUM(L357:L359)=0,1,SUM(L357:L359))*(SUM(G96:G109)))</f>
        <v>352147.09446462884</v>
      </c>
      <c r="I660" s="19">
        <f>SUM(F660:H660)</f>
        <v>979814.55000000016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1433646.3800000001</v>
      </c>
      <c r="G661" s="19">
        <f>(L225+L305)-(J225+J305)</f>
        <v>707120.54</v>
      </c>
      <c r="H661" s="19">
        <f>(L243+L324)-(J243+J324)</f>
        <v>817986.96000000008</v>
      </c>
      <c r="I661" s="19">
        <f>SUM(F661:H661)</f>
        <v>2958753.88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712614.28999999992</v>
      </c>
      <c r="G662" s="200">
        <f>SUM(G574:G586)+SUM(I601:I603)+L611</f>
        <v>320174.35000000003</v>
      </c>
      <c r="H662" s="200">
        <f>SUM(H574:H586)+SUM(J601:J603)+L612</f>
        <v>1641224.02</v>
      </c>
      <c r="I662" s="19">
        <f>SUM(F662:H662)</f>
        <v>2674012.66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25110762.248272523</v>
      </c>
      <c r="G663" s="19">
        <f>G659-SUM(G660:G662)</f>
        <v>13409673.696192097</v>
      </c>
      <c r="H663" s="19">
        <f>H659-SUM(H660:H662)</f>
        <v>20031607.115535367</v>
      </c>
      <c r="I663" s="19">
        <f>I659-SUM(I660:I662)</f>
        <v>58552043.059999987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1774.58</v>
      </c>
      <c r="G664" s="249">
        <v>1175.1600000000001</v>
      </c>
      <c r="H664" s="249">
        <v>1682.48</v>
      </c>
      <c r="I664" s="19">
        <f>SUM(F664:H664)</f>
        <v>4632.2199999999993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14150.26</v>
      </c>
      <c r="G666" s="19">
        <f>ROUND(G663/G664,2)</f>
        <v>11410.93</v>
      </c>
      <c r="H666" s="19">
        <f>ROUND(H663/H664,2)</f>
        <v>11906</v>
      </c>
      <c r="I666" s="19">
        <f>ROUND(I663/I664,2)</f>
        <v>12640.17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-44.87</v>
      </c>
      <c r="I669" s="19">
        <f>SUM(F669:H669)</f>
        <v>-44.87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14150.26</v>
      </c>
      <c r="G671" s="19">
        <f>ROUND((G663+G668)/(G664+G669),2)</f>
        <v>11410.93</v>
      </c>
      <c r="H671" s="19">
        <f>ROUND((H663+H668)/(H664+H669),2)</f>
        <v>12232.22</v>
      </c>
      <c r="I671" s="19">
        <f>ROUND((I663+I668)/(I664+I669),2)</f>
        <v>12763.81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Londonderry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18097248.82</v>
      </c>
      <c r="C9" s="230">
        <f>'DOE25'!G196+'DOE25'!G214+'DOE25'!G232+'DOE25'!G275+'DOE25'!G294+'DOE25'!G313</f>
        <v>7649968.3600000003</v>
      </c>
    </row>
    <row r="10" spans="1:3" x14ac:dyDescent="0.2">
      <c r="A10" t="s">
        <v>779</v>
      </c>
      <c r="B10" s="241">
        <v>17057810.25</v>
      </c>
      <c r="C10" s="241">
        <v>7525570.04</v>
      </c>
    </row>
    <row r="11" spans="1:3" x14ac:dyDescent="0.2">
      <c r="A11" t="s">
        <v>780</v>
      </c>
      <c r="B11" s="241">
        <v>503003.7</v>
      </c>
      <c r="C11" s="241">
        <v>65390.48</v>
      </c>
    </row>
    <row r="12" spans="1:3" x14ac:dyDescent="0.2">
      <c r="A12" t="s">
        <v>781</v>
      </c>
      <c r="B12" s="241">
        <v>536434.87</v>
      </c>
      <c r="C12" s="241">
        <v>59007.839999999997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18097248.82</v>
      </c>
      <c r="C13" s="232">
        <f>SUM(C10:C12)</f>
        <v>7649968.3600000003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8088960.1899999995</v>
      </c>
      <c r="C18" s="230">
        <f>'DOE25'!G197+'DOE25'!G215+'DOE25'!G233+'DOE25'!G276+'DOE25'!G295+'DOE25'!G314</f>
        <v>3520730.77</v>
      </c>
    </row>
    <row r="19" spans="1:3" x14ac:dyDescent="0.2">
      <c r="A19" t="s">
        <v>779</v>
      </c>
      <c r="B19" s="241">
        <v>5280728.63</v>
      </c>
      <c r="C19" s="241">
        <v>2537849.81</v>
      </c>
    </row>
    <row r="20" spans="1:3" x14ac:dyDescent="0.2">
      <c r="A20" t="s">
        <v>780</v>
      </c>
      <c r="B20" s="241">
        <v>2356559.2599999998</v>
      </c>
      <c r="C20" s="241">
        <v>824795.65</v>
      </c>
    </row>
    <row r="21" spans="1:3" x14ac:dyDescent="0.2">
      <c r="A21" t="s">
        <v>781</v>
      </c>
      <c r="B21" s="241">
        <v>451672.3</v>
      </c>
      <c r="C21" s="241">
        <v>158085.31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8088960.1899999995</v>
      </c>
      <c r="C22" s="232">
        <f>SUM(C19:C21)</f>
        <v>3520730.77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800874.26</v>
      </c>
      <c r="C36" s="236">
        <f>'DOE25'!G199+'DOE25'!G217+'DOE25'!G235+'DOE25'!G278+'DOE25'!G297+'DOE25'!G316</f>
        <v>342652.49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800874.26</v>
      </c>
      <c r="C39" s="241">
        <v>342652.49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800874.26</v>
      </c>
      <c r="C40" s="232">
        <f>SUM(C37:C39)</f>
        <v>342652.49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Londonderry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39753322.009999998</v>
      </c>
      <c r="D5" s="20">
        <f>SUM('DOE25'!L196:L199)+SUM('DOE25'!L214:L217)+SUM('DOE25'!L232:L235)-F5-G5</f>
        <v>39580707.019999996</v>
      </c>
      <c r="E5" s="244"/>
      <c r="F5" s="256">
        <f>SUM('DOE25'!J196:J199)+SUM('DOE25'!J214:J217)+SUM('DOE25'!J232:J235)</f>
        <v>134871.84999999998</v>
      </c>
      <c r="G5" s="53">
        <f>SUM('DOE25'!K196:K199)+SUM('DOE25'!K214:K217)+SUM('DOE25'!K232:K235)</f>
        <v>37743.14</v>
      </c>
      <c r="H5" s="260"/>
    </row>
    <row r="6" spans="1:9" x14ac:dyDescent="0.2">
      <c r="A6" s="32">
        <v>2100</v>
      </c>
      <c r="B6" t="s">
        <v>801</v>
      </c>
      <c r="C6" s="246">
        <f t="shared" si="0"/>
        <v>5289412.3599999994</v>
      </c>
      <c r="D6" s="20">
        <f>'DOE25'!L201+'DOE25'!L219+'DOE25'!L237-F6-G6</f>
        <v>5286272.3699999992</v>
      </c>
      <c r="E6" s="244"/>
      <c r="F6" s="256">
        <f>'DOE25'!J201+'DOE25'!J219+'DOE25'!J237</f>
        <v>0</v>
      </c>
      <c r="G6" s="53">
        <f>'DOE25'!K201+'DOE25'!K219+'DOE25'!K237</f>
        <v>3139.99</v>
      </c>
      <c r="H6" s="260"/>
    </row>
    <row r="7" spans="1:9" x14ac:dyDescent="0.2">
      <c r="A7" s="32">
        <v>2200</v>
      </c>
      <c r="B7" t="s">
        <v>834</v>
      </c>
      <c r="C7" s="246">
        <f t="shared" si="0"/>
        <v>1826750.0300000003</v>
      </c>
      <c r="D7" s="20">
        <f>'DOE25'!L202+'DOE25'!L220+'DOE25'!L238-F7-G7</f>
        <v>1714551.2500000002</v>
      </c>
      <c r="E7" s="244"/>
      <c r="F7" s="256">
        <f>'DOE25'!J202+'DOE25'!J220+'DOE25'!J238</f>
        <v>109711.44</v>
      </c>
      <c r="G7" s="53">
        <f>'DOE25'!K202+'DOE25'!K220+'DOE25'!K238</f>
        <v>2487.34</v>
      </c>
      <c r="H7" s="260"/>
    </row>
    <row r="8" spans="1:9" x14ac:dyDescent="0.2">
      <c r="A8" s="32">
        <v>2300</v>
      </c>
      <c r="B8" t="s">
        <v>802</v>
      </c>
      <c r="C8" s="246">
        <f t="shared" si="0"/>
        <v>318543.08999999997</v>
      </c>
      <c r="D8" s="244"/>
      <c r="E8" s="20">
        <f>'DOE25'!L203+'DOE25'!L221+'DOE25'!L239-F8-G8-D9-D11</f>
        <v>289908.45999999996</v>
      </c>
      <c r="F8" s="256">
        <f>'DOE25'!J203+'DOE25'!J221+'DOE25'!J239</f>
        <v>11452.919999999998</v>
      </c>
      <c r="G8" s="53">
        <f>'DOE25'!K203+'DOE25'!K221+'DOE25'!K239</f>
        <v>17181.71</v>
      </c>
      <c r="H8" s="260"/>
    </row>
    <row r="9" spans="1:9" x14ac:dyDescent="0.2">
      <c r="A9" s="32">
        <v>2310</v>
      </c>
      <c r="B9" t="s">
        <v>818</v>
      </c>
      <c r="C9" s="246">
        <f t="shared" si="0"/>
        <v>36446.97</v>
      </c>
      <c r="D9" s="245">
        <v>36446.97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16725</v>
      </c>
      <c r="D10" s="244"/>
      <c r="E10" s="245">
        <v>16725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504100.62</v>
      </c>
      <c r="D11" s="245">
        <v>504100.62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2881755.99</v>
      </c>
      <c r="D12" s="20">
        <f>'DOE25'!L204+'DOE25'!L222+'DOE25'!L240-F12-G12</f>
        <v>2869206.99</v>
      </c>
      <c r="E12" s="244"/>
      <c r="F12" s="256">
        <f>'DOE25'!J204+'DOE25'!J222+'DOE25'!J240</f>
        <v>0</v>
      </c>
      <c r="G12" s="53">
        <f>'DOE25'!K204+'DOE25'!K222+'DOE25'!K240</f>
        <v>12549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729532.70000000007</v>
      </c>
      <c r="D13" s="244"/>
      <c r="E13" s="20">
        <f>'DOE25'!L205+'DOE25'!L223+'DOE25'!L241-F13-G13</f>
        <v>729532.70000000007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6117263.3200000003</v>
      </c>
      <c r="D14" s="20">
        <f>'DOE25'!L206+'DOE25'!L224+'DOE25'!L242-F14-G14</f>
        <v>5776056.6699999999</v>
      </c>
      <c r="E14" s="244"/>
      <c r="F14" s="256">
        <f>'DOE25'!J206+'DOE25'!J224+'DOE25'!J242</f>
        <v>340491.64999999997</v>
      </c>
      <c r="G14" s="53">
        <f>'DOE25'!K206+'DOE25'!K224+'DOE25'!K242</f>
        <v>715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2958753.88</v>
      </c>
      <c r="D15" s="20">
        <f>'DOE25'!L207+'DOE25'!L225+'DOE25'!L243-F15-G15</f>
        <v>2958753.88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1215133.73</v>
      </c>
      <c r="D16" s="244"/>
      <c r="E16" s="20">
        <f>'DOE25'!L208+'DOE25'!L226+'DOE25'!L244-F16-G16</f>
        <v>1009448.1</v>
      </c>
      <c r="F16" s="256">
        <f>'DOE25'!J208+'DOE25'!J226+'DOE25'!J244</f>
        <v>205685.63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46646.130000000005</v>
      </c>
      <c r="D17" s="20">
        <f>'DOE25'!L250-F17-G17</f>
        <v>46646.130000000005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2855633.49</v>
      </c>
      <c r="D25" s="244"/>
      <c r="E25" s="244"/>
      <c r="F25" s="259"/>
      <c r="G25" s="257"/>
      <c r="H25" s="258">
        <f>'DOE25'!L259+'DOE25'!L260+'DOE25'!L340+'DOE25'!L341</f>
        <v>2855633.49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649612.2699999999</v>
      </c>
      <c r="D29" s="20">
        <f>'DOE25'!L357+'DOE25'!L358+'DOE25'!L359-'DOE25'!I366-F29-G29</f>
        <v>630920.5199999999</v>
      </c>
      <c r="E29" s="244"/>
      <c r="F29" s="256">
        <f>'DOE25'!J357+'DOE25'!J358+'DOE25'!J359</f>
        <v>494.5</v>
      </c>
      <c r="G29" s="53">
        <f>'DOE25'!K357+'DOE25'!K358+'DOE25'!K359</f>
        <v>18197.25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2288993.5100000002</v>
      </c>
      <c r="D31" s="20">
        <f>'DOE25'!L289+'DOE25'!L308+'DOE25'!L327+'DOE25'!L332+'DOE25'!L333+'DOE25'!L334-F31-G31</f>
        <v>2078108.9300000002</v>
      </c>
      <c r="E31" s="244"/>
      <c r="F31" s="256">
        <f>'DOE25'!J289+'DOE25'!J308+'DOE25'!J327+'DOE25'!J332+'DOE25'!J333+'DOE25'!J334</f>
        <v>210884.58000000002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61481771.350000001</v>
      </c>
      <c r="E33" s="247">
        <f>SUM(E5:E31)</f>
        <v>2045614.26</v>
      </c>
      <c r="F33" s="247">
        <f>SUM(F5:F31)</f>
        <v>1013592.5699999998</v>
      </c>
      <c r="G33" s="247">
        <f>SUM(G5:G31)</f>
        <v>92013.43</v>
      </c>
      <c r="H33" s="247">
        <f>SUM(H5:H31)</f>
        <v>2855633.49</v>
      </c>
    </row>
    <row r="35" spans="2:8" ht="12" thickBot="1" x14ac:dyDescent="0.25">
      <c r="B35" s="254" t="s">
        <v>847</v>
      </c>
      <c r="D35" s="255">
        <f>E33</f>
        <v>2045614.26</v>
      </c>
      <c r="E35" s="250"/>
    </row>
    <row r="36" spans="2:8" ht="12" thickTop="1" x14ac:dyDescent="0.2">
      <c r="B36" t="s">
        <v>815</v>
      </c>
      <c r="D36" s="20">
        <f>D33</f>
        <v>61481771.350000001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8" activePane="bottomLeft" state="frozen"/>
      <selection pane="bottomLeft" activeCell="C140" sqref="C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1684459.61</v>
      </c>
      <c r="D8" s="95">
        <f>'DOE25'!G9</f>
        <v>6600</v>
      </c>
      <c r="E8" s="95">
        <f>'DOE25'!H9</f>
        <v>0</v>
      </c>
      <c r="F8" s="95">
        <f>'DOE25'!I9</f>
        <v>0</v>
      </c>
      <c r="G8" s="95">
        <f>'DOE25'!J9</f>
        <v>321148.44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471515.19</v>
      </c>
      <c r="D11" s="95">
        <f>'DOE25'!G12</f>
        <v>12686.7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14437.87</v>
      </c>
      <c r="E12" s="95">
        <f>'DOE25'!H13</f>
        <v>462077.84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72027.259999999995</v>
      </c>
      <c r="D13" s="95">
        <f>'DOE25'!G14</f>
        <v>20118.310000000001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23044.93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2080.9299999999998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2230082.9900000002</v>
      </c>
      <c r="D18" s="41">
        <f>SUM(D8:D17)</f>
        <v>76887.81</v>
      </c>
      <c r="E18" s="41">
        <f>SUM(E8:E17)</f>
        <v>462077.84</v>
      </c>
      <c r="F18" s="41">
        <f>SUM(F8:F17)</f>
        <v>0</v>
      </c>
      <c r="G18" s="41">
        <f>SUM(G8:G17)</f>
        <v>321148.44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361489.43</v>
      </c>
      <c r="F21" s="95">
        <f>'DOE25'!I22</f>
        <v>0</v>
      </c>
      <c r="G21" s="95">
        <f>'DOE25'!J22</f>
        <v>122712.46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419788.44</v>
      </c>
      <c r="D23" s="95">
        <f>'DOE25'!G24</f>
        <v>35315.67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511439.67</v>
      </c>
      <c r="D27" s="95">
        <f>'DOE25'!G28</f>
        <v>12965</v>
      </c>
      <c r="E27" s="95">
        <f>'DOE25'!H28</f>
        <v>23620.75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238409.67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1169637.78</v>
      </c>
      <c r="D31" s="41">
        <f>SUM(D21:D30)</f>
        <v>48280.67</v>
      </c>
      <c r="E31" s="41">
        <f>SUM(E21:E30)</f>
        <v>385110.18</v>
      </c>
      <c r="F31" s="41">
        <f>SUM(F21:F30)</f>
        <v>0</v>
      </c>
      <c r="G31" s="41">
        <f>SUM(G21:G30)</f>
        <v>122712.46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23044.93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2080.9299999999998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76967.66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5562.21</v>
      </c>
      <c r="E46" s="95">
        <f>'DOE25'!H47</f>
        <v>0</v>
      </c>
      <c r="F46" s="95">
        <f>'DOE25'!I47</f>
        <v>0</v>
      </c>
      <c r="G46" s="95">
        <f>'DOE25'!J47</f>
        <v>198435.97999999998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28608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979756.28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1060445.21</v>
      </c>
      <c r="D49" s="41">
        <f>SUM(D34:D48)</f>
        <v>28607.14</v>
      </c>
      <c r="E49" s="41">
        <f>SUM(E34:E48)</f>
        <v>76967.66</v>
      </c>
      <c r="F49" s="41">
        <f>SUM(F34:F48)</f>
        <v>0</v>
      </c>
      <c r="G49" s="41">
        <f>SUM(G34:G48)</f>
        <v>198435.97999999998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2230082.9900000002</v>
      </c>
      <c r="D50" s="41">
        <f>D49+D31</f>
        <v>76887.81</v>
      </c>
      <c r="E50" s="41">
        <f>E49+E31</f>
        <v>462077.83999999997</v>
      </c>
      <c r="F50" s="41">
        <f>F49+F31</f>
        <v>0</v>
      </c>
      <c r="G50" s="41">
        <f>G49+G31</f>
        <v>321148.44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42005210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234689.72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12349.02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122.08</v>
      </c>
      <c r="E58" s="95">
        <f>'DOE25'!H95</f>
        <v>0</v>
      </c>
      <c r="F58" s="95">
        <f>'DOE25'!I95</f>
        <v>0</v>
      </c>
      <c r="G58" s="95">
        <f>'DOE25'!J95</f>
        <v>264.07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962380.53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224899.58000000002</v>
      </c>
      <c r="D60" s="95">
        <f>SUM('DOE25'!G97:G109)</f>
        <v>17434.02</v>
      </c>
      <c r="E60" s="95">
        <f>SUM('DOE25'!H97:H109)</f>
        <v>19762.04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471938.32</v>
      </c>
      <c r="D61" s="130">
        <f>SUM(D56:D60)</f>
        <v>979936.63</v>
      </c>
      <c r="E61" s="130">
        <f>SUM(E56:E60)</f>
        <v>19762.04</v>
      </c>
      <c r="F61" s="130">
        <f>SUM(F56:F60)</f>
        <v>0</v>
      </c>
      <c r="G61" s="130">
        <f>SUM(G56:G60)</f>
        <v>264.07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42477148.32</v>
      </c>
      <c r="D62" s="22">
        <f>D55+D61</f>
        <v>979936.63</v>
      </c>
      <c r="E62" s="22">
        <f>E55+E61</f>
        <v>19762.04</v>
      </c>
      <c r="F62" s="22">
        <f>F55+F61</f>
        <v>0</v>
      </c>
      <c r="G62" s="22">
        <f>G55+G61</f>
        <v>264.07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14633850.74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6273851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12679.26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20920381.000000004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539694.51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398148.53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25289.23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520</v>
      </c>
      <c r="D76" s="95">
        <f>SUM('DOE25'!G130:G134)</f>
        <v>18798.14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963652.27</v>
      </c>
      <c r="D77" s="130">
        <f>SUM(D71:D76)</f>
        <v>18798.14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21884033.270000003</v>
      </c>
      <c r="D80" s="130">
        <f>SUM(D78:D79)+D77+D69</f>
        <v>18798.14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337110.67</v>
      </c>
      <c r="D87" s="95">
        <f>SUM('DOE25'!G152:G160)</f>
        <v>301980.78000000003</v>
      </c>
      <c r="E87" s="95">
        <f>SUM('DOE25'!H152:H160)</f>
        <v>2292672.46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337110.67</v>
      </c>
      <c r="D90" s="131">
        <f>SUM(D84:D89)</f>
        <v>301980.78000000003</v>
      </c>
      <c r="E90" s="131">
        <f>SUM(E84:E89)</f>
        <v>2292672.46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20118.310000000001</v>
      </c>
      <c r="E95" s="95">
        <f>'DOE25'!H178</f>
        <v>0</v>
      </c>
      <c r="F95" s="95">
        <f>'DOE25'!I178</f>
        <v>0</v>
      </c>
      <c r="G95" s="95">
        <f>'DOE25'!J178</f>
        <v>325000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432006.9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465779.46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897786.3600000001</v>
      </c>
      <c r="D102" s="86">
        <f>SUM(D92:D101)</f>
        <v>20118.310000000001</v>
      </c>
      <c r="E102" s="86">
        <f>SUM(E92:E101)</f>
        <v>0</v>
      </c>
      <c r="F102" s="86">
        <f>SUM(F92:F101)</f>
        <v>0</v>
      </c>
      <c r="G102" s="86">
        <f>SUM(G92:G101)</f>
        <v>325000</v>
      </c>
    </row>
    <row r="103" spans="1:7" ht="12.75" thickTop="1" thickBot="1" x14ac:dyDescent="0.25">
      <c r="A103" s="33" t="s">
        <v>765</v>
      </c>
      <c r="C103" s="86">
        <f>C62+C80+C90+C102</f>
        <v>65596078.620000005</v>
      </c>
      <c r="D103" s="86">
        <f>D62+D80+D90+D102</f>
        <v>1320833.8600000001</v>
      </c>
      <c r="E103" s="86">
        <f>E62+E80+E90+E102</f>
        <v>2312434.5</v>
      </c>
      <c r="F103" s="86">
        <f>F62+F80+F90+F102</f>
        <v>0</v>
      </c>
      <c r="G103" s="86">
        <f>G62+G80+G102</f>
        <v>325264.07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26050303.969999999</v>
      </c>
      <c r="D108" s="24" t="s">
        <v>289</v>
      </c>
      <c r="E108" s="95">
        <f>('DOE25'!L275)+('DOE25'!L294)+('DOE25'!L313)</f>
        <v>605233.25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12090912.84</v>
      </c>
      <c r="D109" s="24" t="s">
        <v>289</v>
      </c>
      <c r="E109" s="95">
        <f>('DOE25'!L276)+('DOE25'!L295)+('DOE25'!L314)</f>
        <v>1341187.9300000002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199905.64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1412199.56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22942.5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46646.130000000005</v>
      </c>
      <c r="D113" s="24" t="s">
        <v>289</v>
      </c>
      <c r="E113" s="95">
        <f>+ SUM('DOE25'!L332:L334)</f>
        <v>72110.2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39799968.140000008</v>
      </c>
      <c r="D114" s="86">
        <f>SUM(D108:D113)</f>
        <v>0</v>
      </c>
      <c r="E114" s="86">
        <f>SUM(E108:E113)</f>
        <v>2041473.8800000001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5289412.3599999994</v>
      </c>
      <c r="D117" s="24" t="s">
        <v>289</v>
      </c>
      <c r="E117" s="95">
        <f>+('DOE25'!L280)+('DOE25'!L299)+('DOE25'!L318)</f>
        <v>184948.04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1826750.0300000003</v>
      </c>
      <c r="D118" s="24" t="s">
        <v>289</v>
      </c>
      <c r="E118" s="95">
        <f>+('DOE25'!L281)+('DOE25'!L300)+('DOE25'!L319)</f>
        <v>85514.09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859090.67999999993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2881755.99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729532.70000000007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6117263.3200000003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2958753.88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1215133.73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1316726.1399999999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21877692.689999998</v>
      </c>
      <c r="D127" s="86">
        <f>SUM(D117:D126)</f>
        <v>1316726.1399999999</v>
      </c>
      <c r="E127" s="86">
        <f>SUM(E117:E126)</f>
        <v>270462.13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1130633.49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432006.9</v>
      </c>
    </row>
    <row r="134" spans="1:7" x14ac:dyDescent="0.2">
      <c r="A134" t="s">
        <v>233</v>
      </c>
      <c r="B134" s="32" t="s">
        <v>234</v>
      </c>
      <c r="C134" s="95">
        <f>'DOE25'!L262</f>
        <v>20118.310000000001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14.09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325249.98000000004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-264.07000000006519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3200751.8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432006.9</v>
      </c>
    </row>
    <row r="144" spans="1:7" ht="12.75" thickTop="1" thickBot="1" x14ac:dyDescent="0.25">
      <c r="A144" s="33" t="s">
        <v>244</v>
      </c>
      <c r="C144" s="86">
        <f>(C114+C127+C143)</f>
        <v>64878412.630000003</v>
      </c>
      <c r="D144" s="86">
        <f>(D114+D127+D143)</f>
        <v>1316726.1399999999</v>
      </c>
      <c r="E144" s="86">
        <f>(E114+E127+E143)</f>
        <v>2311936.0100000002</v>
      </c>
      <c r="F144" s="86">
        <f>(F114+F127+F143)</f>
        <v>0</v>
      </c>
      <c r="G144" s="86">
        <f>(G114+G127+G143)</f>
        <v>432006.9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13</v>
      </c>
      <c r="D150" s="153">
        <f>'DOE25'!H489</f>
        <v>20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04/02</v>
      </c>
      <c r="C151" s="152" t="str">
        <f>'DOE25'!G490</f>
        <v>02/04</v>
      </c>
      <c r="D151" s="152" t="str">
        <f>'DOE25'!H490</f>
        <v>06/05</v>
      </c>
      <c r="E151" s="152" t="str">
        <f>'DOE25'!I490</f>
        <v>07/08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07/22</v>
      </c>
      <c r="C152" s="152" t="str">
        <f>'DOE25'!G491</f>
        <v>08/16</v>
      </c>
      <c r="D152" s="152" t="str">
        <f>'DOE25'!H491</f>
        <v>08/25</v>
      </c>
      <c r="E152" s="152" t="str">
        <f>'DOE25'!I491</f>
        <v>07/28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12030000</v>
      </c>
      <c r="C153" s="137">
        <f>'DOE25'!G492</f>
        <v>6935000</v>
      </c>
      <c r="D153" s="137">
        <f>'DOE25'!H492</f>
        <v>5500000</v>
      </c>
      <c r="E153" s="137">
        <f>'DOE25'!I492</f>
        <v>5100000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4.57</v>
      </c>
      <c r="C154" s="137">
        <f>'DOE25'!G493</f>
        <v>3.25</v>
      </c>
      <c r="D154" s="137">
        <f>'DOE25'!H493</f>
        <v>3.9</v>
      </c>
      <c r="E154" s="137">
        <f>'DOE25'!I493</f>
        <v>4.09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8010000</v>
      </c>
      <c r="C155" s="137">
        <f>'DOE25'!G494</f>
        <v>3020000</v>
      </c>
      <c r="D155" s="137">
        <f>'DOE25'!H494</f>
        <v>4125000</v>
      </c>
      <c r="E155" s="137">
        <f>'DOE25'!I494</f>
        <v>4590000</v>
      </c>
      <c r="F155" s="137">
        <f>'DOE25'!J494</f>
        <v>0</v>
      </c>
      <c r="G155" s="138">
        <f>SUM(B155:F155)</f>
        <v>19745000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670000</v>
      </c>
      <c r="C157" s="137">
        <f>'DOE25'!G496</f>
        <v>525000</v>
      </c>
      <c r="D157" s="137">
        <f>'DOE25'!H496</f>
        <v>275000</v>
      </c>
      <c r="E157" s="137">
        <f>'DOE25'!I496</f>
        <v>255000</v>
      </c>
      <c r="F157" s="137">
        <f>'DOE25'!J496</f>
        <v>0</v>
      </c>
      <c r="G157" s="138">
        <f t="shared" si="0"/>
        <v>1725000</v>
      </c>
    </row>
    <row r="158" spans="1:9" x14ac:dyDescent="0.2">
      <c r="A158" s="22" t="s">
        <v>35</v>
      </c>
      <c r="B158" s="137">
        <f>'DOE25'!F497</f>
        <v>7340000</v>
      </c>
      <c r="C158" s="137">
        <f>'DOE25'!G497</f>
        <v>2495000</v>
      </c>
      <c r="D158" s="137">
        <f>'DOE25'!H497</f>
        <v>3850000</v>
      </c>
      <c r="E158" s="137">
        <f>'DOE25'!I497</f>
        <v>4335000</v>
      </c>
      <c r="F158" s="137">
        <f>'DOE25'!J497</f>
        <v>0</v>
      </c>
      <c r="G158" s="138">
        <f t="shared" si="0"/>
        <v>18020000</v>
      </c>
    </row>
    <row r="159" spans="1:9" x14ac:dyDescent="0.2">
      <c r="A159" s="22" t="s">
        <v>36</v>
      </c>
      <c r="B159" s="137">
        <f>'DOE25'!F498</f>
        <v>1940200.75</v>
      </c>
      <c r="C159" s="137">
        <f>'DOE25'!G498</f>
        <v>244568.75</v>
      </c>
      <c r="D159" s="137">
        <f>'DOE25'!H498</f>
        <v>1079512.5</v>
      </c>
      <c r="E159" s="137">
        <f>'DOE25'!I498</f>
        <v>1511990.67</v>
      </c>
      <c r="F159" s="137">
        <f>'DOE25'!J498</f>
        <v>0</v>
      </c>
      <c r="G159" s="138">
        <f t="shared" si="0"/>
        <v>4776272.67</v>
      </c>
    </row>
    <row r="160" spans="1:9" x14ac:dyDescent="0.2">
      <c r="A160" s="22" t="s">
        <v>37</v>
      </c>
      <c r="B160" s="137">
        <f>'DOE25'!F499</f>
        <v>9280200.75</v>
      </c>
      <c r="C160" s="137">
        <f>'DOE25'!G499</f>
        <v>2739568.75</v>
      </c>
      <c r="D160" s="137">
        <f>'DOE25'!H499</f>
        <v>4929512.5</v>
      </c>
      <c r="E160" s="137">
        <f>'DOE25'!I499</f>
        <v>5846990.6699999999</v>
      </c>
      <c r="F160" s="137">
        <f>'DOE25'!J499</f>
        <v>0</v>
      </c>
      <c r="G160" s="138">
        <f t="shared" si="0"/>
        <v>22796272.670000002</v>
      </c>
    </row>
    <row r="161" spans="1:7" x14ac:dyDescent="0.2">
      <c r="A161" s="22" t="s">
        <v>38</v>
      </c>
      <c r="B161" s="137">
        <f>'DOE25'!F500</f>
        <v>670000</v>
      </c>
      <c r="C161" s="137">
        <f>'DOE25'!G500</f>
        <v>515000</v>
      </c>
      <c r="D161" s="137">
        <f>'DOE25'!H500</f>
        <v>275000</v>
      </c>
      <c r="E161" s="137">
        <f>'DOE25'!I500</f>
        <v>255000</v>
      </c>
      <c r="F161" s="137">
        <f>'DOE25'!J500</f>
        <v>0</v>
      </c>
      <c r="G161" s="138">
        <f t="shared" si="0"/>
        <v>1715000</v>
      </c>
    </row>
    <row r="162" spans="1:7" x14ac:dyDescent="0.2">
      <c r="A162" s="22" t="s">
        <v>39</v>
      </c>
      <c r="B162" s="137">
        <f>'DOE25'!F501</f>
        <v>329175</v>
      </c>
      <c r="C162" s="137">
        <f>'DOE25'!G501</f>
        <v>87568.75</v>
      </c>
      <c r="D162" s="137">
        <f>'DOE25'!H501</f>
        <v>145337.5</v>
      </c>
      <c r="E162" s="137">
        <f>'DOE25'!I501</f>
        <v>171806.26</v>
      </c>
      <c r="F162" s="137">
        <f>'DOE25'!J501</f>
        <v>0</v>
      </c>
      <c r="G162" s="138">
        <f t="shared" si="0"/>
        <v>733887.51</v>
      </c>
    </row>
    <row r="163" spans="1:7" x14ac:dyDescent="0.2">
      <c r="A163" s="22" t="s">
        <v>246</v>
      </c>
      <c r="B163" s="137">
        <f>'DOE25'!F502</f>
        <v>999175</v>
      </c>
      <c r="C163" s="137">
        <f>'DOE25'!G502</f>
        <v>602568.75</v>
      </c>
      <c r="D163" s="137">
        <f>'DOE25'!H502</f>
        <v>420337.5</v>
      </c>
      <c r="E163" s="137">
        <f>'DOE25'!I502</f>
        <v>426806.26</v>
      </c>
      <c r="F163" s="137">
        <f>'DOE25'!J502</f>
        <v>0</v>
      </c>
      <c r="G163" s="138">
        <f t="shared" si="0"/>
        <v>2448887.5099999998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Londonderry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14150</v>
      </c>
    </row>
    <row r="5" spans="1:4" x14ac:dyDescent="0.2">
      <c r="B5" t="s">
        <v>704</v>
      </c>
      <c r="C5" s="179">
        <f>IF('DOE25'!G664+'DOE25'!G669=0,0,ROUND('DOE25'!G671,0))</f>
        <v>11411</v>
      </c>
    </row>
    <row r="6" spans="1:4" x14ac:dyDescent="0.2">
      <c r="B6" t="s">
        <v>62</v>
      </c>
      <c r="C6" s="179">
        <f>IF('DOE25'!H664+'DOE25'!H669=0,0,ROUND('DOE25'!H671,0))</f>
        <v>12232</v>
      </c>
    </row>
    <row r="7" spans="1:4" x14ac:dyDescent="0.2">
      <c r="B7" t="s">
        <v>705</v>
      </c>
      <c r="C7" s="179">
        <f>IF('DOE25'!I664+'DOE25'!I669=0,0,ROUND('DOE25'!I671,0))</f>
        <v>12764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26655537</v>
      </c>
      <c r="D10" s="182">
        <f>ROUND((C10/$C$28)*100,1)</f>
        <v>40.700000000000003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13432101</v>
      </c>
      <c r="D11" s="182">
        <f>ROUND((C11/$C$28)*100,1)</f>
        <v>20.5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199906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1412200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5474360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1912264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2074224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2881756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729533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6117263</v>
      </c>
      <c r="D20" s="182">
        <f t="shared" si="0"/>
        <v>9.3000000000000007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2958754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22943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118756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1130633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336911.44999999995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65457141.450000003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65457141.450000003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1725000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42005210</v>
      </c>
      <c r="D35" s="182">
        <f t="shared" ref="D35:D40" si="1">ROUND((C35/$C$41)*100,1)</f>
        <v>62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492086.51000000536</v>
      </c>
      <c r="D36" s="182">
        <f t="shared" si="1"/>
        <v>0.7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20920381</v>
      </c>
      <c r="D37" s="182">
        <f t="shared" si="1"/>
        <v>30.9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982450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2931764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465779</v>
      </c>
      <c r="D40" s="182">
        <f t="shared" si="1"/>
        <v>0.7</v>
      </c>
    </row>
    <row r="41" spans="1:4" x14ac:dyDescent="0.2">
      <c r="B41" s="187" t="s">
        <v>736</v>
      </c>
      <c r="C41" s="180">
        <f>SUM(C35:C40)</f>
        <v>67797670.510000005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6" sqref="C16:M1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Londonderry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3</v>
      </c>
      <c r="B4" s="220">
        <v>24</v>
      </c>
      <c r="C4" s="280" t="s">
        <v>918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919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 t="s">
        <v>920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10</v>
      </c>
      <c r="B8" s="220">
        <v>10</v>
      </c>
      <c r="C8" s="280" t="s">
        <v>921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 t="s">
        <v>922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2012-09-07T12:28:42Z</cp:lastPrinted>
  <dcterms:created xsi:type="dcterms:W3CDTF">1997-12-04T19:04:30Z</dcterms:created>
  <dcterms:modified xsi:type="dcterms:W3CDTF">2012-11-21T14:57:03Z</dcterms:modified>
</cp:coreProperties>
</file>