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28" i="1" s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C18" i="10" s="1"/>
  <c r="L240" i="1"/>
  <c r="F14" i="13"/>
  <c r="G14" i="13"/>
  <c r="L206" i="1"/>
  <c r="L224" i="1"/>
  <c r="L242" i="1"/>
  <c r="C20" i="10" s="1"/>
  <c r="F15" i="13"/>
  <c r="G15" i="13"/>
  <c r="L207" i="1"/>
  <c r="L225" i="1"/>
  <c r="G661" i="1" s="1"/>
  <c r="I661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C15" i="10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E130" i="2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F59" i="1"/>
  <c r="F111" i="1" s="1"/>
  <c r="G59" i="1"/>
  <c r="H59" i="1"/>
  <c r="I59" i="1"/>
  <c r="F78" i="1"/>
  <c r="F93" i="1"/>
  <c r="F110" i="1"/>
  <c r="G110" i="1"/>
  <c r="G111" i="1" s="1"/>
  <c r="H78" i="1"/>
  <c r="H93" i="1"/>
  <c r="E57" i="2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/>
  <c r="J120" i="1"/>
  <c r="J135" i="1"/>
  <c r="F146" i="1"/>
  <c r="F161" i="1"/>
  <c r="G146" i="1"/>
  <c r="D84" i="2"/>
  <c r="G161" i="1"/>
  <c r="H146" i="1"/>
  <c r="H161" i="1"/>
  <c r="I146" i="1"/>
  <c r="F84" i="2" s="1"/>
  <c r="F90" i="2" s="1"/>
  <c r="I161" i="1"/>
  <c r="C11" i="10"/>
  <c r="C12" i="10"/>
  <c r="C13" i="10"/>
  <c r="C16" i="10"/>
  <c r="C19" i="10"/>
  <c r="C21" i="10"/>
  <c r="L249" i="1"/>
  <c r="L331" i="1"/>
  <c r="L253" i="1"/>
  <c r="C24" i="10"/>
  <c r="C25" i="10"/>
  <c r="L267" i="1"/>
  <c r="L268" i="1"/>
  <c r="L348" i="1"/>
  <c r="E141" i="2" s="1"/>
  <c r="E143" i="2" s="1"/>
  <c r="L349" i="1"/>
  <c r="I664" i="1"/>
  <c r="I669" i="1"/>
  <c r="L210" i="1"/>
  <c r="L246" i="1"/>
  <c r="G660" i="1"/>
  <c r="F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/>
  <c r="I458" i="1"/>
  <c r="J47" i="1"/>
  <c r="C48" i="2"/>
  <c r="C55" i="2"/>
  <c r="D55" i="2"/>
  <c r="E55" i="2"/>
  <c r="F55" i="2"/>
  <c r="C56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H50" i="1"/>
  <c r="I50" i="1"/>
  <c r="I51" i="1" s="1"/>
  <c r="H619" i="1" s="1"/>
  <c r="F176" i="1"/>
  <c r="I176" i="1"/>
  <c r="I191" i="1" s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I433" i="1"/>
  <c r="J432" i="1"/>
  <c r="F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/>
  <c r="H460" i="1"/>
  <c r="I460" i="1"/>
  <c r="H641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 s="1"/>
  <c r="H635" i="1"/>
  <c r="H636" i="1"/>
  <c r="H637" i="1"/>
  <c r="G638" i="1"/>
  <c r="H638" i="1"/>
  <c r="G639" i="1"/>
  <c r="J639" i="1" s="1"/>
  <c r="G640" i="1"/>
  <c r="H640" i="1"/>
  <c r="G641" i="1"/>
  <c r="G642" i="1"/>
  <c r="H642" i="1"/>
  <c r="G643" i="1"/>
  <c r="H643" i="1"/>
  <c r="G644" i="1"/>
  <c r="H644" i="1"/>
  <c r="H646" i="1"/>
  <c r="G648" i="1"/>
  <c r="G649" i="1"/>
  <c r="J649" i="1" s="1"/>
  <c r="G650" i="1"/>
  <c r="J650" i="1" s="1"/>
  <c r="G651" i="1"/>
  <c r="H651" i="1"/>
  <c r="G652" i="1"/>
  <c r="H652" i="1"/>
  <c r="J652" i="1"/>
  <c r="G653" i="1"/>
  <c r="H653" i="1"/>
  <c r="H654" i="1"/>
  <c r="F191" i="1"/>
  <c r="L255" i="1"/>
  <c r="K256" i="1"/>
  <c r="K270" i="1" s="1"/>
  <c r="G256" i="1"/>
  <c r="G270" i="1" s="1"/>
  <c r="G159" i="2"/>
  <c r="C18" i="2"/>
  <c r="F31" i="2"/>
  <c r="C26" i="10"/>
  <c r="L327" i="1"/>
  <c r="H659" i="1" s="1"/>
  <c r="L350" i="1"/>
  <c r="L289" i="1"/>
  <c r="A31" i="12"/>
  <c r="C69" i="2"/>
  <c r="A40" i="12"/>
  <c r="D12" i="13"/>
  <c r="C12" i="13" s="1"/>
  <c r="G161" i="2"/>
  <c r="D61" i="2"/>
  <c r="D62" i="2"/>
  <c r="E49" i="2"/>
  <c r="D18" i="13"/>
  <c r="C18" i="13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 s="1"/>
  <c r="G158" i="2"/>
  <c r="C90" i="2"/>
  <c r="G80" i="2"/>
  <c r="F77" i="2"/>
  <c r="F80" i="2"/>
  <c r="F61" i="2"/>
  <c r="F62" i="2"/>
  <c r="D31" i="2"/>
  <c r="C127" i="2"/>
  <c r="C77" i="2"/>
  <c r="C80" i="2"/>
  <c r="D49" i="2"/>
  <c r="G156" i="2"/>
  <c r="F49" i="2"/>
  <c r="F50" i="2"/>
  <c r="F18" i="2"/>
  <c r="G162" i="2"/>
  <c r="G160" i="2"/>
  <c r="G157" i="2"/>
  <c r="G155" i="2"/>
  <c r="G102" i="2"/>
  <c r="E102" i="2"/>
  <c r="C102" i="2"/>
  <c r="E61" i="2"/>
  <c r="E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/>
  <c r="H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I168" i="1"/>
  <c r="H168" i="1"/>
  <c r="J643" i="1"/>
  <c r="J642" i="1"/>
  <c r="J475" i="1"/>
  <c r="H625" i="1" s="1"/>
  <c r="H475" i="1"/>
  <c r="H623" i="1" s="1"/>
  <c r="J623" i="1" s="1"/>
  <c r="F475" i="1"/>
  <c r="H621" i="1"/>
  <c r="J621" i="1" s="1"/>
  <c r="I475" i="1"/>
  <c r="H624" i="1" s="1"/>
  <c r="J624" i="1" s="1"/>
  <c r="G475" i="1"/>
  <c r="H622" i="1"/>
  <c r="J622" i="1" s="1"/>
  <c r="G337" i="1"/>
  <c r="G351" i="1" s="1"/>
  <c r="C23" i="10"/>
  <c r="F168" i="1"/>
  <c r="J139" i="1"/>
  <c r="F570" i="1"/>
  <c r="H256" i="1"/>
  <c r="H270" i="1" s="1"/>
  <c r="G62" i="2"/>
  <c r="G103" i="2"/>
  <c r="G12" i="2"/>
  <c r="I551" i="1"/>
  <c r="K548" i="1"/>
  <c r="K549" i="1"/>
  <c r="G22" i="2"/>
  <c r="G31" i="2"/>
  <c r="J32" i="1"/>
  <c r="K597" i="1"/>
  <c r="G646" i="1" s="1"/>
  <c r="J646" i="1" s="1"/>
  <c r="K544" i="1"/>
  <c r="J551" i="1"/>
  <c r="H551" i="1"/>
  <c r="C29" i="10"/>
  <c r="H139" i="1"/>
  <c r="L400" i="1"/>
  <c r="C138" i="2" s="1"/>
  <c r="L392" i="1"/>
  <c r="L407" i="1" s="1"/>
  <c r="A13" i="12"/>
  <c r="F22" i="13"/>
  <c r="C22" i="13" s="1"/>
  <c r="H25" i="13"/>
  <c r="J633" i="1"/>
  <c r="H570" i="1"/>
  <c r="L559" i="1"/>
  <c r="J544" i="1"/>
  <c r="L336" i="1"/>
  <c r="H337" i="1"/>
  <c r="H351" i="1"/>
  <c r="G191" i="1"/>
  <c r="H191" i="1"/>
  <c r="E127" i="2"/>
  <c r="F551" i="1"/>
  <c r="C35" i="10"/>
  <c r="L308" i="1"/>
  <c r="G659" i="1" s="1"/>
  <c r="G663" i="1" s="1"/>
  <c r="E16" i="13"/>
  <c r="C16" i="13" s="1"/>
  <c r="C49" i="2"/>
  <c r="C50" i="2"/>
  <c r="J654" i="1"/>
  <c r="J644" i="1"/>
  <c r="L569" i="1"/>
  <c r="I570" i="1"/>
  <c r="I544" i="1"/>
  <c r="J635" i="1"/>
  <c r="G36" i="2"/>
  <c r="L564" i="1"/>
  <c r="L570" i="1" s="1"/>
  <c r="G544" i="1"/>
  <c r="L544" i="1"/>
  <c r="H544" i="1"/>
  <c r="K550" i="1"/>
  <c r="K551" i="1" s="1"/>
  <c r="C137" i="2"/>
  <c r="E33" i="13"/>
  <c r="D35" i="13" s="1"/>
  <c r="C25" i="13"/>
  <c r="H33" i="13"/>
  <c r="A22" i="12"/>
  <c r="L613" i="1"/>
  <c r="C114" i="2"/>
  <c r="J648" i="1"/>
  <c r="J653" i="1"/>
  <c r="F103" i="2"/>
  <c r="H647" i="1"/>
  <c r="J647" i="1" s="1"/>
  <c r="J651" i="1"/>
  <c r="F544" i="1"/>
  <c r="H433" i="1"/>
  <c r="F337" i="1"/>
  <c r="F351" i="1"/>
  <c r="B163" i="2"/>
  <c r="G163" i="2"/>
  <c r="K502" i="1"/>
  <c r="I662" i="1"/>
  <c r="H192" i="1"/>
  <c r="G628" i="1"/>
  <c r="J628" i="1" s="1"/>
  <c r="L337" i="1"/>
  <c r="L351" i="1" s="1"/>
  <c r="G632" i="1" s="1"/>
  <c r="J632" i="1" s="1"/>
  <c r="D80" i="2"/>
  <c r="L256" i="1"/>
  <c r="G31" i="13"/>
  <c r="G33" i="13" s="1"/>
  <c r="I256" i="1"/>
  <c r="I270" i="1" s="1"/>
  <c r="D144" i="2"/>
  <c r="E90" i="2"/>
  <c r="E103" i="2"/>
  <c r="C61" i="2"/>
  <c r="C62" i="2"/>
  <c r="C103" i="2" s="1"/>
  <c r="H660" i="1"/>
  <c r="I660" i="1" s="1"/>
  <c r="C17" i="10"/>
  <c r="C10" i="10"/>
  <c r="C28" i="10"/>
  <c r="D27" i="10" s="1"/>
  <c r="F31" i="13"/>
  <c r="F33" i="13" s="1"/>
  <c r="D5" i="13"/>
  <c r="C5" i="13" s="1"/>
  <c r="D31" i="13"/>
  <c r="C31" i="13" s="1"/>
  <c r="E108" i="2"/>
  <c r="E114" i="2" s="1"/>
  <c r="E144" i="2" s="1"/>
  <c r="L270" i="1"/>
  <c r="G631" i="1"/>
  <c r="J631" i="1" s="1"/>
  <c r="F659" i="1"/>
  <c r="I659" i="1" s="1"/>
  <c r="I663" i="1" s="1"/>
  <c r="J192" i="1"/>
  <c r="G630" i="1"/>
  <c r="J630" i="1" s="1"/>
  <c r="G46" i="2"/>
  <c r="G49" i="2" s="1"/>
  <c r="G50" i="2" s="1"/>
  <c r="J50" i="1"/>
  <c r="J641" i="1"/>
  <c r="G9" i="2"/>
  <c r="G18" i="2"/>
  <c r="J19" i="1"/>
  <c r="G620" i="1"/>
  <c r="J620" i="1" s="1"/>
  <c r="G168" i="1"/>
  <c r="C39" i="10"/>
  <c r="C36" i="10"/>
  <c r="F192" i="1"/>
  <c r="G626" i="1" s="1"/>
  <c r="C38" i="10"/>
  <c r="E50" i="2"/>
  <c r="H51" i="1"/>
  <c r="H618" i="1"/>
  <c r="D50" i="2"/>
  <c r="J618" i="1"/>
  <c r="G51" i="1"/>
  <c r="H617" i="1"/>
  <c r="J617" i="1" s="1"/>
  <c r="F51" i="1"/>
  <c r="H616" i="1" s="1"/>
  <c r="J616" i="1" s="1"/>
  <c r="H663" i="1"/>
  <c r="F663" i="1"/>
  <c r="G645" i="1"/>
  <c r="G625" i="1"/>
  <c r="J625" i="1"/>
  <c r="J51" i="1"/>
  <c r="H620" i="1"/>
  <c r="D22" i="10"/>
  <c r="D24" i="10"/>
  <c r="D23" i="10"/>
  <c r="D25" i="10"/>
  <c r="D17" i="10"/>
  <c r="D11" i="10"/>
  <c r="D15" i="10"/>
  <c r="D28" i="10" s="1"/>
  <c r="D26" i="10"/>
  <c r="D18" i="10"/>
  <c r="D13" i="10"/>
  <c r="D20" i="10"/>
  <c r="D10" i="10"/>
  <c r="C30" i="10"/>
  <c r="D19" i="10"/>
  <c r="D16" i="10"/>
  <c r="D12" i="10"/>
  <c r="D21" i="10"/>
  <c r="H666" i="1"/>
  <c r="H671" i="1"/>
  <c r="F671" i="1"/>
  <c r="C4" i="10" s="1"/>
  <c r="F666" i="1"/>
  <c r="C41" i="10"/>
  <c r="D37" i="10" s="1"/>
  <c r="D90" i="2"/>
  <c r="D103" i="2" s="1"/>
  <c r="G192" i="1"/>
  <c r="G627" i="1" s="1"/>
  <c r="J627" i="1" s="1"/>
  <c r="D38" i="10"/>
  <c r="D40" i="10"/>
  <c r="D36" i="10"/>
  <c r="J626" i="1" l="1"/>
  <c r="C140" i="2"/>
  <c r="C143" i="2" s="1"/>
  <c r="C144" i="2" s="1"/>
  <c r="I671" i="1"/>
  <c r="C7" i="10" s="1"/>
  <c r="I666" i="1"/>
  <c r="G666" i="1"/>
  <c r="G671" i="1"/>
  <c r="G636" i="1"/>
  <c r="J636" i="1" s="1"/>
  <c r="H645" i="1"/>
  <c r="J645" i="1" s="1"/>
  <c r="D35" i="10"/>
  <c r="D41" i="10" s="1"/>
  <c r="D39" i="10"/>
  <c r="D33" i="13"/>
  <c r="D36" i="13" s="1"/>
  <c r="G551" i="1"/>
  <c r="I192" i="1"/>
  <c r="G629" i="1" s="1"/>
  <c r="J629" i="1" s="1"/>
  <c r="F143" i="2"/>
  <c r="F144" i="2" s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<sst xmlns="http://schemas.openxmlformats.org/spreadsheetml/2006/main" count="3943" uniqueCount="910">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</sst>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68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M6" sqref="M6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333</v>
      </c>
      <c r="C2" s="21">
        <v>333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291475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145462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3216</v>
      </c>
      <c r="H12" s="18">
        <v>21858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1904</v>
      </c>
      <c r="G13" s="18">
        <v>17652</v>
      </c>
      <c r="H13" s="18">
        <v>41070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18065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311444</v>
      </c>
      <c r="G19" s="41">
        <f>SUM(G9:G18)</f>
        <v>20868</v>
      </c>
      <c r="H19" s="41">
        <f>SUM(H9:H18)</f>
        <v>62928</v>
      </c>
      <c r="I19" s="41">
        <f>SUM(I9:I18)</f>
        <v>0</v>
      </c>
      <c r="J19" s="41">
        <f>SUM(J9:J18)</f>
        <v>145462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1839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8210</v>
      </c>
      <c r="G23" s="18">
        <v>16591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12355</v>
      </c>
      <c r="G24" s="18"/>
      <c r="H24" s="18">
        <v>2560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20614</v>
      </c>
      <c r="G28" s="18">
        <v>4277</v>
      </c>
      <c r="H28" s="18">
        <v>1050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35800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43018</v>
      </c>
      <c r="G32" s="41">
        <f>SUM(G22:G31)</f>
        <v>20868</v>
      </c>
      <c r="H32" s="41">
        <f>SUM(H22:H31)</f>
        <v>39410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23518</v>
      </c>
      <c r="I47" s="18"/>
      <c r="J47" s="13">
        <f>SUM(I458)</f>
        <v>145462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39938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228488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268426</v>
      </c>
      <c r="G50" s="41">
        <f>SUM(G35:G49)</f>
        <v>0</v>
      </c>
      <c r="H50" s="41">
        <f>SUM(H35:H49)</f>
        <v>23518</v>
      </c>
      <c r="I50" s="41">
        <f>SUM(I35:I49)</f>
        <v>0</v>
      </c>
      <c r="J50" s="41">
        <f>SUM(J35:J49)</f>
        <v>145462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311444</v>
      </c>
      <c r="G51" s="41">
        <f>G50+G32</f>
        <v>20868</v>
      </c>
      <c r="H51" s="41">
        <f>H50+H32</f>
        <v>62928</v>
      </c>
      <c r="I51" s="41">
        <f>I50+I32</f>
        <v>0</v>
      </c>
      <c r="J51" s="41">
        <f>J50+J32</f>
        <v>145462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3826618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3826618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>
        <v>34175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17942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17942</v>
      </c>
      <c r="G78" s="45" t="s">
        <v>289</v>
      </c>
      <c r="H78" s="41">
        <f>SUM(H62:H77)</f>
        <v>34175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114</v>
      </c>
      <c r="G95" s="18"/>
      <c r="H95" s="18"/>
      <c r="I95" s="18"/>
      <c r="J95" s="18">
        <v>84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28769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26128</v>
      </c>
      <c r="G104" s="18">
        <v>30100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5546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31788</v>
      </c>
      <c r="G110" s="41">
        <f>SUM(G95:G109)</f>
        <v>58869</v>
      </c>
      <c r="H110" s="41">
        <f>SUM(H95:H109)</f>
        <v>0</v>
      </c>
      <c r="I110" s="41">
        <f>SUM(I95:I109)</f>
        <v>0</v>
      </c>
      <c r="J110" s="41">
        <f>SUM(J95:J109)</f>
        <v>84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3876348</v>
      </c>
      <c r="G111" s="41">
        <f>G59+G110</f>
        <v>58869</v>
      </c>
      <c r="H111" s="41">
        <f>H59+H78+H93+H110</f>
        <v>34175</v>
      </c>
      <c r="I111" s="41">
        <f>I59+I110</f>
        <v>0</v>
      </c>
      <c r="J111" s="41">
        <f>J59+J110</f>
        <v>84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479428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1088348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1568191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8204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2718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600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8204</v>
      </c>
      <c r="G135" s="41">
        <f>SUM(G122:G134)</f>
        <v>2718</v>
      </c>
      <c r="H135" s="41">
        <f>SUM(H122:H134)</f>
        <v>600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1576395</v>
      </c>
      <c r="G139" s="41">
        <f>G120+SUM(G135:G136)</f>
        <v>2718</v>
      </c>
      <c r="H139" s="41">
        <f>H120+SUM(H135:H138)</f>
        <v>600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54332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158862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55891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12573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32692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45265</v>
      </c>
      <c r="G161" s="41">
        <f>SUM(G149:G160)</f>
        <v>55891</v>
      </c>
      <c r="H161" s="41">
        <f>SUM(H149:H160)</f>
        <v>213194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45265</v>
      </c>
      <c r="G168" s="41">
        <f>G146+G161+SUM(G162:G167)</f>
        <v>55891</v>
      </c>
      <c r="H168" s="41">
        <f>H146+H161+SUM(H162:H167)</f>
        <v>213194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14134</v>
      </c>
      <c r="H178" s="18"/>
      <c r="I178" s="18"/>
      <c r="J178" s="18">
        <v>48000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14134</v>
      </c>
      <c r="H182" s="41">
        <f>SUM(H178:H181)</f>
        <v>0</v>
      </c>
      <c r="I182" s="41">
        <f>SUM(I178:I181)</f>
        <v>0</v>
      </c>
      <c r="J182" s="41">
        <f>SUM(J178:J181)</f>
        <v>48000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14134</v>
      </c>
      <c r="H191" s="41">
        <f>+H182+SUM(H187:H190)</f>
        <v>0</v>
      </c>
      <c r="I191" s="41">
        <f>I176+I182+SUM(I187:I190)</f>
        <v>0</v>
      </c>
      <c r="J191" s="41">
        <f>J182</f>
        <v>48000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5498008</v>
      </c>
      <c r="G192" s="47">
        <f>G111+G139+G168+G191</f>
        <v>131612</v>
      </c>
      <c r="H192" s="47">
        <f>H111+H139+H168+H191</f>
        <v>247969</v>
      </c>
      <c r="I192" s="47">
        <f>I111+I139+I168+I191</f>
        <v>0</v>
      </c>
      <c r="J192" s="47">
        <f>J111+J139+J191</f>
        <v>48084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838801</v>
      </c>
      <c r="G196" s="18">
        <v>408891</v>
      </c>
      <c r="H196" s="18">
        <v>22578</v>
      </c>
      <c r="I196" s="18">
        <v>37295</v>
      </c>
      <c r="J196" s="18">
        <v>12100</v>
      </c>
      <c r="K196" s="18">
        <v>99</v>
      </c>
      <c r="L196" s="19">
        <f>SUM(F196:K196)</f>
        <v>1319764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210088</v>
      </c>
      <c r="G197" s="18">
        <v>143919</v>
      </c>
      <c r="H197" s="18">
        <v>120415</v>
      </c>
      <c r="I197" s="18">
        <v>1648</v>
      </c>
      <c r="J197" s="18"/>
      <c r="K197" s="18"/>
      <c r="L197" s="19">
        <f>SUM(F197:K197)</f>
        <v>476070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2200</v>
      </c>
      <c r="G199" s="18">
        <v>283</v>
      </c>
      <c r="H199" s="18">
        <v>1250</v>
      </c>
      <c r="I199" s="18">
        <v>225</v>
      </c>
      <c r="J199" s="18"/>
      <c r="K199" s="18"/>
      <c r="L199" s="19">
        <f>SUM(F199:K199)</f>
        <v>3958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135545</v>
      </c>
      <c r="G201" s="18">
        <v>73784</v>
      </c>
      <c r="H201" s="18">
        <v>41742</v>
      </c>
      <c r="I201" s="18">
        <v>784</v>
      </c>
      <c r="J201" s="18">
        <v>202</v>
      </c>
      <c r="K201" s="18">
        <v>515</v>
      </c>
      <c r="L201" s="19">
        <f t="shared" ref="L201:L207" si="0">SUM(F201:K201)</f>
        <v>252572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49269</v>
      </c>
      <c r="G202" s="18">
        <v>44225</v>
      </c>
      <c r="H202" s="18">
        <v>8181</v>
      </c>
      <c r="I202" s="18">
        <v>4712</v>
      </c>
      <c r="J202" s="18"/>
      <c r="K202" s="18"/>
      <c r="L202" s="19">
        <f t="shared" si="0"/>
        <v>106387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>
        <v>38</v>
      </c>
      <c r="H203" s="18">
        <v>235280</v>
      </c>
      <c r="I203" s="18">
        <v>337</v>
      </c>
      <c r="J203" s="18"/>
      <c r="K203" s="18">
        <v>3017</v>
      </c>
      <c r="L203" s="19">
        <f t="shared" si="0"/>
        <v>238672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109351</v>
      </c>
      <c r="G204" s="18">
        <v>61494</v>
      </c>
      <c r="H204" s="18">
        <v>934</v>
      </c>
      <c r="I204" s="18">
        <v>5869</v>
      </c>
      <c r="J204" s="18"/>
      <c r="K204" s="18">
        <v>2402</v>
      </c>
      <c r="L204" s="19">
        <f t="shared" si="0"/>
        <v>180050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58144</v>
      </c>
      <c r="G206" s="18">
        <v>48917</v>
      </c>
      <c r="H206" s="18">
        <v>45756</v>
      </c>
      <c r="I206" s="18">
        <v>88239</v>
      </c>
      <c r="J206" s="18">
        <v>21</v>
      </c>
      <c r="K206" s="18"/>
      <c r="L206" s="19">
        <f t="shared" si="0"/>
        <v>241077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38973</v>
      </c>
      <c r="G207" s="18">
        <v>12159</v>
      </c>
      <c r="H207" s="18">
        <v>20398</v>
      </c>
      <c r="I207" s="18">
        <v>13409</v>
      </c>
      <c r="J207" s="18">
        <v>9084</v>
      </c>
      <c r="K207" s="18">
        <v>0</v>
      </c>
      <c r="L207" s="19">
        <f t="shared" si="0"/>
        <v>94023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1442371</v>
      </c>
      <c r="G210" s="41">
        <f t="shared" si="1"/>
        <v>793710</v>
      </c>
      <c r="H210" s="41">
        <f t="shared" si="1"/>
        <v>496534</v>
      </c>
      <c r="I210" s="41">
        <f t="shared" si="1"/>
        <v>152518</v>
      </c>
      <c r="J210" s="41">
        <f t="shared" si="1"/>
        <v>21407</v>
      </c>
      <c r="K210" s="41">
        <f t="shared" si="1"/>
        <v>6033</v>
      </c>
      <c r="L210" s="41">
        <f t="shared" si="1"/>
        <v>2912573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834517</v>
      </c>
      <c r="I214" s="18"/>
      <c r="J214" s="18"/>
      <c r="K214" s="18"/>
      <c r="L214" s="19">
        <f>SUM(F214:K214)</f>
        <v>834517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73542</v>
      </c>
      <c r="I215" s="18"/>
      <c r="J215" s="18"/>
      <c r="K215" s="18"/>
      <c r="L215" s="19">
        <f>SUM(F215:K215)</f>
        <v>73542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13220</v>
      </c>
      <c r="G225" s="18">
        <v>4125</v>
      </c>
      <c r="H225" s="18">
        <v>6919</v>
      </c>
      <c r="I225" s="18">
        <v>4548</v>
      </c>
      <c r="J225" s="18">
        <v>3081</v>
      </c>
      <c r="K225" s="18"/>
      <c r="L225" s="19">
        <f t="shared" si="2"/>
        <v>31893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13220</v>
      </c>
      <c r="G228" s="41">
        <f>SUM(G214:G227)</f>
        <v>4125</v>
      </c>
      <c r="H228" s="41">
        <f>SUM(H214:H227)</f>
        <v>914978</v>
      </c>
      <c r="I228" s="41">
        <f>SUM(I214:I227)</f>
        <v>4548</v>
      </c>
      <c r="J228" s="41">
        <f>SUM(J214:J227)</f>
        <v>3081</v>
      </c>
      <c r="K228" s="41">
        <f t="shared" si="3"/>
        <v>0</v>
      </c>
      <c r="L228" s="41">
        <f t="shared" si="3"/>
        <v>939952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1320535</v>
      </c>
      <c r="I232" s="18"/>
      <c r="J232" s="18"/>
      <c r="K232" s="18"/>
      <c r="L232" s="19">
        <f>SUM(F232:K232)</f>
        <v>1320535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25987</v>
      </c>
      <c r="G243" s="18">
        <v>8108</v>
      </c>
      <c r="H243" s="18">
        <v>13601</v>
      </c>
      <c r="I243" s="18">
        <v>8941</v>
      </c>
      <c r="J243" s="18">
        <v>6057</v>
      </c>
      <c r="K243" s="18"/>
      <c r="L243" s="19">
        <f t="shared" si="4"/>
        <v>62694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25987</v>
      </c>
      <c r="G246" s="41">
        <f t="shared" si="5"/>
        <v>8108</v>
      </c>
      <c r="H246" s="41">
        <f t="shared" si="5"/>
        <v>1334136</v>
      </c>
      <c r="I246" s="41">
        <f t="shared" si="5"/>
        <v>8941</v>
      </c>
      <c r="J246" s="41">
        <f t="shared" si="5"/>
        <v>6057</v>
      </c>
      <c r="K246" s="41">
        <f t="shared" si="5"/>
        <v>0</v>
      </c>
      <c r="L246" s="41">
        <f t="shared" si="5"/>
        <v>1383229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1481578</v>
      </c>
      <c r="G256" s="41">
        <f t="shared" si="8"/>
        <v>805943</v>
      </c>
      <c r="H256" s="41">
        <f t="shared" si="8"/>
        <v>2745648</v>
      </c>
      <c r="I256" s="41">
        <f t="shared" si="8"/>
        <v>166007</v>
      </c>
      <c r="J256" s="41">
        <f t="shared" si="8"/>
        <v>30545</v>
      </c>
      <c r="K256" s="41">
        <f t="shared" si="8"/>
        <v>6033</v>
      </c>
      <c r="L256" s="41">
        <f t="shared" si="8"/>
        <v>5235754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14134</v>
      </c>
      <c r="L262" s="19">
        <f>SUM(F262:K262)</f>
        <v>14134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48000</v>
      </c>
      <c r="L265" s="19">
        <f t="shared" si="9"/>
        <v>48000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62134</v>
      </c>
      <c r="L269" s="41">
        <f t="shared" si="9"/>
        <v>62134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1481578</v>
      </c>
      <c r="G270" s="42">
        <f t="shared" si="11"/>
        <v>805943</v>
      </c>
      <c r="H270" s="42">
        <f t="shared" si="11"/>
        <v>2745648</v>
      </c>
      <c r="I270" s="42">
        <f t="shared" si="11"/>
        <v>166007</v>
      </c>
      <c r="J270" s="42">
        <f t="shared" si="11"/>
        <v>30545</v>
      </c>
      <c r="K270" s="42">
        <f t="shared" si="11"/>
        <v>68167</v>
      </c>
      <c r="L270" s="42">
        <f t="shared" si="11"/>
        <v>5297888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28195</v>
      </c>
      <c r="G275" s="18">
        <v>2157</v>
      </c>
      <c r="H275" s="18"/>
      <c r="I275" s="18">
        <v>4310</v>
      </c>
      <c r="J275" s="18">
        <v>13905</v>
      </c>
      <c r="K275" s="18"/>
      <c r="L275" s="19">
        <f>SUM(F275:K275)</f>
        <v>48567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37874</v>
      </c>
      <c r="G276" s="18">
        <v>5348</v>
      </c>
      <c r="H276" s="18"/>
      <c r="I276" s="18">
        <v>1283</v>
      </c>
      <c r="J276" s="18"/>
      <c r="K276" s="18"/>
      <c r="L276" s="19">
        <f>SUM(F276:K276)</f>
        <v>44505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84127</v>
      </c>
      <c r="G278" s="18">
        <v>8998</v>
      </c>
      <c r="H278" s="18">
        <v>18873</v>
      </c>
      <c r="I278" s="18">
        <v>7990</v>
      </c>
      <c r="J278" s="18">
        <v>922</v>
      </c>
      <c r="K278" s="18">
        <v>124</v>
      </c>
      <c r="L278" s="19">
        <f>SUM(F278:K278)</f>
        <v>121034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2325</v>
      </c>
      <c r="G281" s="18">
        <v>401</v>
      </c>
      <c r="H281" s="18">
        <v>8323</v>
      </c>
      <c r="I281" s="18">
        <v>262</v>
      </c>
      <c r="J281" s="18"/>
      <c r="K281" s="18"/>
      <c r="L281" s="19">
        <f t="shared" si="12"/>
        <v>11311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965</v>
      </c>
      <c r="G282" s="18">
        <v>146</v>
      </c>
      <c r="H282" s="18"/>
      <c r="I282" s="18"/>
      <c r="J282" s="18"/>
      <c r="K282" s="18">
        <v>7378</v>
      </c>
      <c r="L282" s="19">
        <f t="shared" si="12"/>
        <v>8489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2244</v>
      </c>
      <c r="G284" s="18">
        <v>430</v>
      </c>
      <c r="H284" s="18"/>
      <c r="I284" s="18"/>
      <c r="J284" s="18"/>
      <c r="K284" s="18"/>
      <c r="L284" s="19">
        <f t="shared" si="12"/>
        <v>2674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5400</v>
      </c>
      <c r="G286" s="18">
        <v>822</v>
      </c>
      <c r="H286" s="18">
        <v>5167</v>
      </c>
      <c r="I286" s="18"/>
      <c r="J286" s="18"/>
      <c r="K286" s="18"/>
      <c r="L286" s="19">
        <f t="shared" si="12"/>
        <v>11389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161130</v>
      </c>
      <c r="G289" s="42">
        <f t="shared" si="13"/>
        <v>18302</v>
      </c>
      <c r="H289" s="42">
        <f t="shared" si="13"/>
        <v>32363</v>
      </c>
      <c r="I289" s="42">
        <f t="shared" si="13"/>
        <v>13845</v>
      </c>
      <c r="J289" s="42">
        <f t="shared" si="13"/>
        <v>14827</v>
      </c>
      <c r="K289" s="42">
        <f t="shared" si="13"/>
        <v>7502</v>
      </c>
      <c r="L289" s="41">
        <f t="shared" si="13"/>
        <v>247969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161130</v>
      </c>
      <c r="G337" s="41">
        <f t="shared" si="20"/>
        <v>18302</v>
      </c>
      <c r="H337" s="41">
        <f t="shared" si="20"/>
        <v>32363</v>
      </c>
      <c r="I337" s="41">
        <f t="shared" si="20"/>
        <v>13845</v>
      </c>
      <c r="J337" s="41">
        <f t="shared" si="20"/>
        <v>14827</v>
      </c>
      <c r="K337" s="41">
        <f t="shared" si="20"/>
        <v>7502</v>
      </c>
      <c r="L337" s="41">
        <f t="shared" si="20"/>
        <v>247969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161130</v>
      </c>
      <c r="G351" s="41">
        <f>G337</f>
        <v>18302</v>
      </c>
      <c r="H351" s="41">
        <f>H337</f>
        <v>32363</v>
      </c>
      <c r="I351" s="41">
        <f>I337</f>
        <v>13845</v>
      </c>
      <c r="J351" s="41">
        <f>J337</f>
        <v>14827</v>
      </c>
      <c r="K351" s="47">
        <f>K337+K350</f>
        <v>7502</v>
      </c>
      <c r="L351" s="41">
        <f>L337+L350</f>
        <v>247969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59112</v>
      </c>
      <c r="G357" s="18">
        <v>21796</v>
      </c>
      <c r="H357" s="18">
        <v>2131</v>
      </c>
      <c r="I357" s="18">
        <v>48573</v>
      </c>
      <c r="J357" s="18"/>
      <c r="K357" s="18"/>
      <c r="L357" s="13">
        <f>SUM(F357:K357)</f>
        <v>131612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59112</v>
      </c>
      <c r="G361" s="47">
        <f t="shared" si="22"/>
        <v>21796</v>
      </c>
      <c r="H361" s="47">
        <f t="shared" si="22"/>
        <v>2131</v>
      </c>
      <c r="I361" s="47">
        <f t="shared" si="22"/>
        <v>48573</v>
      </c>
      <c r="J361" s="47">
        <f t="shared" si="22"/>
        <v>0</v>
      </c>
      <c r="K361" s="47">
        <f t="shared" si="22"/>
        <v>0</v>
      </c>
      <c r="L361" s="47">
        <f t="shared" si="22"/>
        <v>131612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42779</v>
      </c>
      <c r="G366" s="18"/>
      <c r="H366" s="18"/>
      <c r="I366" s="56">
        <f>SUM(F366:H366)</f>
        <v>42779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5794</v>
      </c>
      <c r="G367" s="63"/>
      <c r="H367" s="63"/>
      <c r="I367" s="56">
        <f>SUM(F367:H367)</f>
        <v>5794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48573</v>
      </c>
      <c r="G368" s="47">
        <f>SUM(G366:G367)</f>
        <v>0</v>
      </c>
      <c r="H368" s="47">
        <f>SUM(H366:H367)</f>
        <v>0</v>
      </c>
      <c r="I368" s="47">
        <f>SUM(I366:I367)</f>
        <v>48573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10000</v>
      </c>
      <c r="H389" s="18">
        <v>30</v>
      </c>
      <c r="I389" s="18"/>
      <c r="J389" s="24" t="s">
        <v>289</v>
      </c>
      <c r="K389" s="24" t="s">
        <v>289</v>
      </c>
      <c r="L389" s="56">
        <f t="shared" si="25"/>
        <v>10030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</v>
      </c>
      <c r="H392" s="139">
        <f>SUM(H386:H391)</f>
        <v>30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10030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7</v>
      </c>
      <c r="I395" s="18"/>
      <c r="J395" s="24" t="s">
        <v>289</v>
      </c>
      <c r="K395" s="24" t="s">
        <v>289</v>
      </c>
      <c r="L395" s="56">
        <f t="shared" si="26"/>
        <v>10007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>
        <v>45</v>
      </c>
      <c r="I396" s="18"/>
      <c r="J396" s="24" t="s">
        <v>289</v>
      </c>
      <c r="K396" s="24" t="s">
        <v>289</v>
      </c>
      <c r="L396" s="56">
        <f t="shared" si="26"/>
        <v>20045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8000</v>
      </c>
      <c r="H398" s="18">
        <v>2</v>
      </c>
      <c r="I398" s="18"/>
      <c r="J398" s="24" t="s">
        <v>289</v>
      </c>
      <c r="K398" s="24" t="s">
        <v>289</v>
      </c>
      <c r="L398" s="56">
        <f t="shared" si="26"/>
        <v>8002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38000</v>
      </c>
      <c r="H400" s="47">
        <f>SUM(H394:H399)</f>
        <v>54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38054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48000</v>
      </c>
      <c r="H407" s="47">
        <f>H392+H400+H406</f>
        <v>84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48084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145462</v>
      </c>
      <c r="G439" s="18"/>
      <c r="H439" s="18"/>
      <c r="I439" s="56">
        <f t="shared" si="33"/>
        <v>145462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145462</v>
      </c>
      <c r="G445" s="13">
        <f>SUM(G438:G444)</f>
        <v>0</v>
      </c>
      <c r="H445" s="13">
        <f>SUM(H438:H444)</f>
        <v>0</v>
      </c>
      <c r="I445" s="13">
        <f>SUM(I438:I444)</f>
        <v>145462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145462</v>
      </c>
      <c r="G458" s="18"/>
      <c r="H458" s="18"/>
      <c r="I458" s="56">
        <f t="shared" si="34"/>
        <v>145462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145462</v>
      </c>
      <c r="G459" s="83">
        <f>SUM(G453:G458)</f>
        <v>0</v>
      </c>
      <c r="H459" s="83">
        <f>SUM(H453:H458)</f>
        <v>0</v>
      </c>
      <c r="I459" s="83">
        <f>SUM(I453:I458)</f>
        <v>145462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145462</v>
      </c>
      <c r="G460" s="42">
        <f>G451+G459</f>
        <v>0</v>
      </c>
      <c r="H460" s="42">
        <f>H451+H459</f>
        <v>0</v>
      </c>
      <c r="I460" s="42">
        <f>I451+I459</f>
        <v>145462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68306</v>
      </c>
      <c r="G464" s="18">
        <v>0</v>
      </c>
      <c r="H464" s="18">
        <v>23518</v>
      </c>
      <c r="I464" s="18">
        <v>0</v>
      </c>
      <c r="J464" s="18">
        <v>97378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5498008</v>
      </c>
      <c r="G467" s="18">
        <v>131612</v>
      </c>
      <c r="H467" s="18">
        <v>247969</v>
      </c>
      <c r="I467" s="18"/>
      <c r="J467" s="18">
        <v>48084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0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5498008</v>
      </c>
      <c r="G469" s="53">
        <f>SUM(G467:G468)</f>
        <v>131612</v>
      </c>
      <c r="H469" s="53">
        <f>SUM(H467:H468)</f>
        <v>247969</v>
      </c>
      <c r="I469" s="53">
        <f>SUM(I467:I468)</f>
        <v>0</v>
      </c>
      <c r="J469" s="53">
        <f>SUM(J467:J468)</f>
        <v>48084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5297888</v>
      </c>
      <c r="G471" s="18">
        <v>131612</v>
      </c>
      <c r="H471" s="18">
        <v>247969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5297888</v>
      </c>
      <c r="G473" s="53">
        <f>SUM(G471:G472)</f>
        <v>131612</v>
      </c>
      <c r="H473" s="53">
        <f>SUM(H471:H472)</f>
        <v>247969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268426</v>
      </c>
      <c r="G475" s="53">
        <f>(G464+G469)- G473</f>
        <v>0</v>
      </c>
      <c r="H475" s="53">
        <f>(H464+H469)- H473</f>
        <v>23518</v>
      </c>
      <c r="I475" s="53">
        <f>(I464+I469)- I473</f>
        <v>0</v>
      </c>
      <c r="J475" s="53">
        <f>(J464+J469)- J473</f>
        <v>145462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169688</v>
      </c>
      <c r="G520" s="18">
        <v>110094</v>
      </c>
      <c r="H520" s="18">
        <v>66271</v>
      </c>
      <c r="I520" s="18"/>
      <c r="J520" s="18"/>
      <c r="K520" s="18"/>
      <c r="L520" s="88">
        <f>SUM(F520:K520)</f>
        <v>346053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73542</v>
      </c>
      <c r="I521" s="18"/>
      <c r="J521" s="18"/>
      <c r="K521" s="18"/>
      <c r="L521" s="88">
        <f>SUM(F521:K521)</f>
        <v>73542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169688</v>
      </c>
      <c r="G523" s="108">
        <f t="shared" ref="G523:L523" si="36">SUM(G520:G522)</f>
        <v>110094</v>
      </c>
      <c r="H523" s="108">
        <f t="shared" si="36"/>
        <v>139813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419595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78273</v>
      </c>
      <c r="G525" s="18">
        <v>39173</v>
      </c>
      <c r="H525" s="18">
        <v>54144</v>
      </c>
      <c r="I525" s="18">
        <v>2930</v>
      </c>
      <c r="J525" s="18"/>
      <c r="K525" s="18"/>
      <c r="L525" s="88">
        <f>SUM(F525:K525)</f>
        <v>174520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78273</v>
      </c>
      <c r="G528" s="89">
        <f t="shared" ref="G528:L528" si="37">SUM(G525:G527)</f>
        <v>39173</v>
      </c>
      <c r="H528" s="89">
        <f t="shared" si="37"/>
        <v>54144</v>
      </c>
      <c r="I528" s="89">
        <f t="shared" si="37"/>
        <v>2930</v>
      </c>
      <c r="J528" s="89">
        <f t="shared" si="37"/>
        <v>0</v>
      </c>
      <c r="K528" s="89">
        <f t="shared" si="37"/>
        <v>0</v>
      </c>
      <c r="L528" s="89">
        <f t="shared" si="37"/>
        <v>174520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32909</v>
      </c>
      <c r="G530" s="18">
        <v>16478</v>
      </c>
      <c r="H530" s="18">
        <v>2124</v>
      </c>
      <c r="I530" s="18">
        <v>75</v>
      </c>
      <c r="J530" s="18"/>
      <c r="K530" s="18"/>
      <c r="L530" s="88">
        <f>SUM(F530:K530)</f>
        <v>51586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32909</v>
      </c>
      <c r="G533" s="89">
        <f t="shared" ref="G533:L533" si="38">SUM(G530:G532)</f>
        <v>16478</v>
      </c>
      <c r="H533" s="89">
        <f t="shared" si="38"/>
        <v>2124</v>
      </c>
      <c r="I533" s="89">
        <f t="shared" si="38"/>
        <v>75</v>
      </c>
      <c r="J533" s="89">
        <f t="shared" si="38"/>
        <v>0</v>
      </c>
      <c r="K533" s="89">
        <f t="shared" si="38"/>
        <v>0</v>
      </c>
      <c r="L533" s="89">
        <f t="shared" si="38"/>
        <v>51586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8208</v>
      </c>
      <c r="G540" s="18">
        <v>638</v>
      </c>
      <c r="H540" s="18">
        <v>6970</v>
      </c>
      <c r="I540" s="18"/>
      <c r="J540" s="18"/>
      <c r="K540" s="18"/>
      <c r="L540" s="88">
        <f>SUM(F540:K540)</f>
        <v>15816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2784</v>
      </c>
      <c r="G541" s="18">
        <v>215</v>
      </c>
      <c r="H541" s="18">
        <v>2365</v>
      </c>
      <c r="I541" s="18"/>
      <c r="J541" s="18"/>
      <c r="K541" s="18"/>
      <c r="L541" s="88">
        <f>SUM(F541:K541)</f>
        <v>5364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5473</v>
      </c>
      <c r="G542" s="18">
        <v>423</v>
      </c>
      <c r="H542" s="18">
        <v>4648</v>
      </c>
      <c r="I542" s="18"/>
      <c r="J542" s="18"/>
      <c r="K542" s="18"/>
      <c r="L542" s="88">
        <f>SUM(F542:K542)</f>
        <v>10544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16465</v>
      </c>
      <c r="G543" s="194">
        <f t="shared" ref="G543:L543" si="40">SUM(G540:G542)</f>
        <v>1276</v>
      </c>
      <c r="H543" s="194">
        <f t="shared" si="40"/>
        <v>13983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31724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297335</v>
      </c>
      <c r="G544" s="89">
        <f t="shared" ref="G544:L544" si="41">G523+G528+G533+G538+G543</f>
        <v>167021</v>
      </c>
      <c r="H544" s="89">
        <f t="shared" si="41"/>
        <v>210064</v>
      </c>
      <c r="I544" s="89">
        <f t="shared" si="41"/>
        <v>3005</v>
      </c>
      <c r="J544" s="89">
        <f t="shared" si="41"/>
        <v>0</v>
      </c>
      <c r="K544" s="89">
        <f t="shared" si="41"/>
        <v>0</v>
      </c>
      <c r="L544" s="89">
        <f t="shared" si="41"/>
        <v>677425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346053</v>
      </c>
      <c r="G548" s="87">
        <f>L525</f>
        <v>174520</v>
      </c>
      <c r="H548" s="87">
        <f>L530</f>
        <v>51586</v>
      </c>
      <c r="I548" s="87">
        <f>L535</f>
        <v>0</v>
      </c>
      <c r="J548" s="87">
        <f>L540</f>
        <v>15816</v>
      </c>
      <c r="K548" s="87">
        <f>SUM(F548:J548)</f>
        <v>587975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73542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5364</v>
      </c>
      <c r="K549" s="87">
        <f>SUM(F549:J549)</f>
        <v>78906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10544</v>
      </c>
      <c r="K550" s="87">
        <f>SUM(F550:J550)</f>
        <v>10544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419595</v>
      </c>
      <c r="G551" s="89">
        <f t="shared" si="42"/>
        <v>174520</v>
      </c>
      <c r="H551" s="89">
        <f t="shared" si="42"/>
        <v>51586</v>
      </c>
      <c r="I551" s="89">
        <f t="shared" si="42"/>
        <v>0</v>
      </c>
      <c r="J551" s="89">
        <f t="shared" si="42"/>
        <v>31724</v>
      </c>
      <c r="K551" s="89">
        <f t="shared" si="42"/>
        <v>677425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834517</v>
      </c>
      <c r="H574" s="18">
        <v>1320535</v>
      </c>
      <c r="I574" s="87">
        <f>SUM(F574:H574)</f>
        <v>2155052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50061</v>
      </c>
      <c r="G577" s="18"/>
      <c r="H577" s="18"/>
      <c r="I577" s="87">
        <f t="shared" si="47"/>
        <v>50061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16211</v>
      </c>
      <c r="G578" s="18">
        <v>73542</v>
      </c>
      <c r="H578" s="18"/>
      <c r="I578" s="87">
        <f t="shared" si="47"/>
        <v>89753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75858</v>
      </c>
      <c r="I590" s="18">
        <v>26530</v>
      </c>
      <c r="J590" s="18">
        <v>52151</v>
      </c>
      <c r="K590" s="104">
        <f t="shared" ref="K590:K596" si="48">SUM(H590:J590)</f>
        <v>154539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15812</v>
      </c>
      <c r="I591" s="18">
        <v>5363</v>
      </c>
      <c r="J591" s="18">
        <v>10543</v>
      </c>
      <c r="K591" s="104">
        <f t="shared" si="48"/>
        <v>31718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2353</v>
      </c>
      <c r="I594" s="18"/>
      <c r="J594" s="18"/>
      <c r="K594" s="104">
        <f t="shared" si="48"/>
        <v>2353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94023</v>
      </c>
      <c r="I597" s="108">
        <f>SUM(I590:I596)</f>
        <v>31893</v>
      </c>
      <c r="J597" s="108">
        <f>SUM(J590:J596)</f>
        <v>62694</v>
      </c>
      <c r="K597" s="108">
        <f>SUM(K590:K596)</f>
        <v>188610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36234</v>
      </c>
      <c r="I603" s="18">
        <v>3081</v>
      </c>
      <c r="J603" s="18">
        <v>6057</v>
      </c>
      <c r="K603" s="104">
        <f>SUM(H603:J603)</f>
        <v>45372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36234</v>
      </c>
      <c r="I604" s="108">
        <f>SUM(I601:I603)</f>
        <v>3081</v>
      </c>
      <c r="J604" s="108">
        <f>SUM(J601:J603)</f>
        <v>6057</v>
      </c>
      <c r="K604" s="108">
        <f>SUM(K601:K603)</f>
        <v>45372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2200</v>
      </c>
      <c r="G610" s="18">
        <v>283</v>
      </c>
      <c r="H610" s="18">
        <v>1250</v>
      </c>
      <c r="I610" s="18">
        <v>225</v>
      </c>
      <c r="J610" s="18"/>
      <c r="K610" s="18"/>
      <c r="L610" s="88">
        <f>SUM(F610:K610)</f>
        <v>3958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2200</v>
      </c>
      <c r="G613" s="108">
        <f t="shared" si="49"/>
        <v>283</v>
      </c>
      <c r="H613" s="108">
        <f t="shared" si="49"/>
        <v>1250</v>
      </c>
      <c r="I613" s="108">
        <f t="shared" si="49"/>
        <v>225</v>
      </c>
      <c r="J613" s="108">
        <f t="shared" si="49"/>
        <v>0</v>
      </c>
      <c r="K613" s="108">
        <f t="shared" si="49"/>
        <v>0</v>
      </c>
      <c r="L613" s="89">
        <f t="shared" si="49"/>
        <v>3958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311444</v>
      </c>
      <c r="H616" s="109">
        <f>SUM(F51)</f>
        <v>311444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20868</v>
      </c>
      <c r="H617" s="109">
        <f>SUM(G51)</f>
        <v>20868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62928</v>
      </c>
      <c r="H618" s="109">
        <f>SUM(H51)</f>
        <v>62928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145462</v>
      </c>
      <c r="H620" s="109">
        <f>SUM(J51)</f>
        <v>145462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268426</v>
      </c>
      <c r="H621" s="109">
        <f>F475</f>
        <v>268426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23518</v>
      </c>
      <c r="H623" s="109">
        <f>H475</f>
        <v>23518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145462</v>
      </c>
      <c r="H625" s="109">
        <f>J475</f>
        <v>145462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5498008</v>
      </c>
      <c r="H626" s="104">
        <f>SUM(F467)</f>
        <v>5498008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131612</v>
      </c>
      <c r="H627" s="104">
        <f>SUM(G467)</f>
        <v>131612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247969</v>
      </c>
      <c r="H628" s="104">
        <f>SUM(H467)</f>
        <v>247969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48084</v>
      </c>
      <c r="H630" s="104">
        <f>SUM(J467)</f>
        <v>48084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5297888</v>
      </c>
      <c r="H631" s="104">
        <f>SUM(F471)</f>
        <v>5297888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247969</v>
      </c>
      <c r="H632" s="104">
        <f>SUM(H471)</f>
        <v>247969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48573</v>
      </c>
      <c r="H633" s="104">
        <f>I368</f>
        <v>48573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131612</v>
      </c>
      <c r="H634" s="104">
        <f>SUM(G471)</f>
        <v>131612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48084</v>
      </c>
      <c r="H636" s="164">
        <f>SUM(J467)</f>
        <v>48084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145462</v>
      </c>
      <c r="H638" s="104">
        <f>SUM(F460)</f>
        <v>145462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145462</v>
      </c>
      <c r="H641" s="104">
        <f>SUM(I460)</f>
        <v>145462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84</v>
      </c>
      <c r="H643" s="104">
        <f>H407</f>
        <v>84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48000</v>
      </c>
      <c r="H644" s="104">
        <f>G407</f>
        <v>48000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48084</v>
      </c>
      <c r="H645" s="104">
        <f>L407</f>
        <v>48084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188610</v>
      </c>
      <c r="H646" s="104">
        <f>L207+L225+L243</f>
        <v>188610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45372</v>
      </c>
      <c r="H647" s="104">
        <f>(J256+J337)-(J254+J335)</f>
        <v>45372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94023</v>
      </c>
      <c r="H648" s="104">
        <f>H597</f>
        <v>94023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31893</v>
      </c>
      <c r="H649" s="104">
        <f>I597</f>
        <v>31893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62694</v>
      </c>
      <c r="H650" s="104">
        <f>J597</f>
        <v>62694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14134</v>
      </c>
      <c r="H651" s="104">
        <f>K262+K344</f>
        <v>14134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48000</v>
      </c>
      <c r="H654" s="104">
        <f>K265+K346</f>
        <v>48000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3292154</v>
      </c>
      <c r="G659" s="19">
        <f>(L228+L308+L358)</f>
        <v>939952</v>
      </c>
      <c r="H659" s="19">
        <f>(L246+L327+L359)</f>
        <v>1383229</v>
      </c>
      <c r="I659" s="19">
        <f>SUM(F659:H659)</f>
        <v>5615335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58869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58869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96328</v>
      </c>
      <c r="G661" s="19">
        <f>(L225+L305)-(J225+J305)</f>
        <v>28812</v>
      </c>
      <c r="H661" s="19">
        <f>(L243+L324)-(J243+J324)</f>
        <v>56637</v>
      </c>
      <c r="I661" s="19">
        <f>SUM(F661:H661)</f>
        <v>181777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106464</v>
      </c>
      <c r="G662" s="200">
        <f>SUM(G574:G586)+SUM(I601:I603)+L611</f>
        <v>911140</v>
      </c>
      <c r="H662" s="200">
        <f>SUM(H574:H586)+SUM(J601:J603)+L612</f>
        <v>1326592</v>
      </c>
      <c r="I662" s="19">
        <f>SUM(F662:H662)</f>
        <v>2344196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3030493</v>
      </c>
      <c r="G663" s="19">
        <f>G659-SUM(G660:G662)</f>
        <v>0</v>
      </c>
      <c r="H663" s="19">
        <f>H659-SUM(H660:H662)</f>
        <v>0</v>
      </c>
      <c r="I663" s="19">
        <f>I659-SUM(I660:I662)</f>
        <v>3030493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153.09</v>
      </c>
      <c r="G664" s="249"/>
      <c r="H664" s="249"/>
      <c r="I664" s="19">
        <f>SUM(F664:H664)</f>
        <v>153.09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19795.5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19795.5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19795.5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19795.5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4" sqref="B4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Madison</v>
      </c>
      <c r="C1" s="239" t="s">
        <v>839</v>
      </c>
    </row>
    <row r="2" spans="1:3">
      <c r="A2" s="234"/>
      <c r="B2" s="233"/>
    </row>
    <row r="3" spans="1:3">
      <c r="A3" s="275" t="s">
        <v>784</v>
      </c>
      <c r="B3" s="275"/>
      <c r="C3" s="275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4" t="s">
        <v>783</v>
      </c>
      <c r="C6" s="274"/>
    </row>
    <row r="7" spans="1:3">
      <c r="A7" s="240" t="s">
        <v>786</v>
      </c>
      <c r="B7" s="272" t="s">
        <v>782</v>
      </c>
      <c r="C7" s="273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866996</v>
      </c>
      <c r="C9" s="230">
        <f>'DOE25'!G196+'DOE25'!G214+'DOE25'!G232+'DOE25'!G275+'DOE25'!G294+'DOE25'!G313</f>
        <v>411048</v>
      </c>
    </row>
    <row r="10" spans="1:3">
      <c r="A10" t="s">
        <v>779</v>
      </c>
      <c r="B10" s="241">
        <v>736946</v>
      </c>
      <c r="C10" s="241">
        <v>365852</v>
      </c>
    </row>
    <row r="11" spans="1:3">
      <c r="A11" t="s">
        <v>780</v>
      </c>
      <c r="B11" s="271">
        <v>130050</v>
      </c>
      <c r="C11" s="241">
        <v>45196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866996</v>
      </c>
      <c r="C13" s="232">
        <f>SUM(C10:C12)</f>
        <v>411048</v>
      </c>
    </row>
    <row r="14" spans="1:3">
      <c r="B14" s="231"/>
      <c r="C14" s="231"/>
    </row>
    <row r="15" spans="1:3">
      <c r="B15" s="274" t="s">
        <v>783</v>
      </c>
      <c r="C15" s="274"/>
    </row>
    <row r="16" spans="1:3">
      <c r="A16" s="240" t="s">
        <v>787</v>
      </c>
      <c r="B16" s="272" t="s">
        <v>707</v>
      </c>
      <c r="C16" s="273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247962</v>
      </c>
      <c r="C18" s="230">
        <f>'DOE25'!G197+'DOE25'!G215+'DOE25'!G233+'DOE25'!G276+'DOE25'!G295+'DOE25'!G314</f>
        <v>149267</v>
      </c>
    </row>
    <row r="19" spans="1:3">
      <c r="A19" t="s">
        <v>779</v>
      </c>
      <c r="B19" s="241">
        <v>169688</v>
      </c>
      <c r="C19" s="241">
        <v>110094</v>
      </c>
    </row>
    <row r="20" spans="1:3">
      <c r="A20" t="s">
        <v>780</v>
      </c>
      <c r="B20" s="241">
        <v>78274</v>
      </c>
      <c r="C20" s="241">
        <v>39173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247962</v>
      </c>
      <c r="C22" s="232">
        <f>SUM(C19:C21)</f>
        <v>149267</v>
      </c>
    </row>
    <row r="23" spans="1:3">
      <c r="B23" s="231"/>
      <c r="C23" s="231"/>
    </row>
    <row r="24" spans="1:3">
      <c r="B24" s="274" t="s">
        <v>783</v>
      </c>
      <c r="C24" s="274"/>
    </row>
    <row r="25" spans="1:3">
      <c r="A25" s="240" t="s">
        <v>788</v>
      </c>
      <c r="B25" s="272" t="s">
        <v>708</v>
      </c>
      <c r="C25" s="273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4" t="s">
        <v>783</v>
      </c>
      <c r="C33" s="274"/>
    </row>
    <row r="34" spans="1:3">
      <c r="A34" s="240" t="s">
        <v>789</v>
      </c>
      <c r="B34" s="272" t="s">
        <v>709</v>
      </c>
      <c r="C34" s="273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86327</v>
      </c>
      <c r="C36" s="236">
        <f>'DOE25'!G199+'DOE25'!G217+'DOE25'!G235+'DOE25'!G278+'DOE25'!G297+'DOE25'!G316</f>
        <v>9281</v>
      </c>
    </row>
    <row r="37" spans="1:3">
      <c r="A37" t="s">
        <v>779</v>
      </c>
      <c r="B37" s="241">
        <v>16585</v>
      </c>
      <c r="C37" s="241">
        <v>1783</v>
      </c>
    </row>
    <row r="38" spans="1:3">
      <c r="A38" t="s">
        <v>780</v>
      </c>
      <c r="B38" s="241">
        <v>11153</v>
      </c>
      <c r="C38" s="241">
        <v>1199</v>
      </c>
    </row>
    <row r="39" spans="1:3">
      <c r="A39" t="s">
        <v>781</v>
      </c>
      <c r="B39" s="241">
        <v>58589</v>
      </c>
      <c r="C39" s="241">
        <v>6299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86327</v>
      </c>
      <c r="C40" s="232">
        <f>SUM(C37:C39)</f>
        <v>9281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3" sqref="D13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717</v>
      </c>
      <c r="B2" s="266" t="str">
        <f>'DOE25'!A2</f>
        <v>Madison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4028386</v>
      </c>
      <c r="D5" s="20">
        <f>SUM('DOE25'!L196:L199)+SUM('DOE25'!L214:L217)+SUM('DOE25'!L232:L235)-F5-G5</f>
        <v>4016187</v>
      </c>
      <c r="E5" s="244"/>
      <c r="F5" s="256">
        <f>SUM('DOE25'!J196:J199)+SUM('DOE25'!J214:J217)+SUM('DOE25'!J232:J235)</f>
        <v>12100</v>
      </c>
      <c r="G5" s="53">
        <f>SUM('DOE25'!K196:K199)+SUM('DOE25'!K214:K217)+SUM('DOE25'!K232:K235)</f>
        <v>99</v>
      </c>
      <c r="H5" s="260"/>
    </row>
    <row r="6" spans="1:9">
      <c r="A6" s="32">
        <v>2100</v>
      </c>
      <c r="B6" t="s">
        <v>801</v>
      </c>
      <c r="C6" s="246">
        <f t="shared" si="0"/>
        <v>252572</v>
      </c>
      <c r="D6" s="20">
        <f>'DOE25'!L201+'DOE25'!L219+'DOE25'!L237-F6-G6</f>
        <v>251855</v>
      </c>
      <c r="E6" s="244"/>
      <c r="F6" s="256">
        <f>'DOE25'!J201+'DOE25'!J219+'DOE25'!J237</f>
        <v>202</v>
      </c>
      <c r="G6" s="53">
        <f>'DOE25'!K201+'DOE25'!K219+'DOE25'!K237</f>
        <v>515</v>
      </c>
      <c r="H6" s="260"/>
    </row>
    <row r="7" spans="1:9">
      <c r="A7" s="32">
        <v>2200</v>
      </c>
      <c r="B7" t="s">
        <v>834</v>
      </c>
      <c r="C7" s="246">
        <f t="shared" si="0"/>
        <v>106387</v>
      </c>
      <c r="D7" s="20">
        <f>'DOE25'!L202+'DOE25'!L220+'DOE25'!L238-F7-G7</f>
        <v>106387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160143</v>
      </c>
      <c r="D8" s="244"/>
      <c r="E8" s="20">
        <f>'DOE25'!L203+'DOE25'!L221+'DOE25'!L239-F8-G8-D9-D11</f>
        <v>157126</v>
      </c>
      <c r="F8" s="256">
        <f>'DOE25'!J203+'DOE25'!J221+'DOE25'!J239</f>
        <v>0</v>
      </c>
      <c r="G8" s="53">
        <f>'DOE25'!K203+'DOE25'!K221+'DOE25'!K239</f>
        <v>3017</v>
      </c>
      <c r="H8" s="260"/>
    </row>
    <row r="9" spans="1:9">
      <c r="A9" s="32">
        <v>2310</v>
      </c>
      <c r="B9" t="s">
        <v>818</v>
      </c>
      <c r="C9" s="246">
        <f t="shared" si="0"/>
        <v>18354</v>
      </c>
      <c r="D9" s="245">
        <v>18354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6458</v>
      </c>
      <c r="D10" s="244"/>
      <c r="E10" s="245">
        <v>6458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60175</v>
      </c>
      <c r="D11" s="245">
        <v>60175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180050</v>
      </c>
      <c r="D12" s="20">
        <f>'DOE25'!L204+'DOE25'!L222+'DOE25'!L240-F12-G12</f>
        <v>177648</v>
      </c>
      <c r="E12" s="244"/>
      <c r="F12" s="256">
        <f>'DOE25'!J204+'DOE25'!J222+'DOE25'!J240</f>
        <v>0</v>
      </c>
      <c r="G12" s="53">
        <f>'DOE25'!K204+'DOE25'!K222+'DOE25'!K240</f>
        <v>2402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241077</v>
      </c>
      <c r="D14" s="20">
        <f>'DOE25'!L206+'DOE25'!L224+'DOE25'!L242-F14-G14</f>
        <v>241056</v>
      </c>
      <c r="E14" s="244"/>
      <c r="F14" s="256">
        <f>'DOE25'!J206+'DOE25'!J224+'DOE25'!J242</f>
        <v>21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188610</v>
      </c>
      <c r="D15" s="20">
        <f>'DOE25'!L207+'DOE25'!L225+'DOE25'!L243-F15-G15</f>
        <v>170388</v>
      </c>
      <c r="E15" s="244"/>
      <c r="F15" s="256">
        <f>'DOE25'!J207+'DOE25'!J225+'DOE25'!J243</f>
        <v>18222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88833</v>
      </c>
      <c r="D29" s="20">
        <f>'DOE25'!L357+'DOE25'!L358+'DOE25'!L359-'DOE25'!I366-F29-G29</f>
        <v>88833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247969</v>
      </c>
      <c r="D31" s="20">
        <f>'DOE25'!L289+'DOE25'!L308+'DOE25'!L327+'DOE25'!L332+'DOE25'!L333+'DOE25'!L334-F31-G31</f>
        <v>225640</v>
      </c>
      <c r="E31" s="244"/>
      <c r="F31" s="256">
        <f>'DOE25'!J289+'DOE25'!J308+'DOE25'!J327+'DOE25'!J332+'DOE25'!J333+'DOE25'!J334</f>
        <v>14827</v>
      </c>
      <c r="G31" s="53">
        <f>'DOE25'!K289+'DOE25'!K308+'DOE25'!K327+'DOE25'!K332+'DOE25'!K333+'DOE25'!K334</f>
        <v>7502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5356523</v>
      </c>
      <c r="E33" s="247">
        <f>SUM(E5:E31)</f>
        <v>163584</v>
      </c>
      <c r="F33" s="247">
        <f>SUM(F5:F31)</f>
        <v>45372</v>
      </c>
      <c r="G33" s="247">
        <f>SUM(G5:G31)</f>
        <v>13535</v>
      </c>
      <c r="H33" s="247">
        <f>SUM(H5:H31)</f>
        <v>0</v>
      </c>
    </row>
    <row r="35" spans="2:8" ht="12" thickBot="1">
      <c r="B35" s="254" t="s">
        <v>847</v>
      </c>
      <c r="D35" s="255">
        <f>E33</f>
        <v>163584</v>
      </c>
      <c r="E35" s="250"/>
    </row>
    <row r="36" spans="2:8" ht="12" thickTop="1">
      <c r="B36" t="s">
        <v>815</v>
      </c>
      <c r="D36" s="20">
        <f>D33</f>
        <v>5356523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Madison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291475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145462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3216</v>
      </c>
      <c r="E11" s="95">
        <f>'DOE25'!H12</f>
        <v>21858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1904</v>
      </c>
      <c r="D12" s="95">
        <f>'DOE25'!G13</f>
        <v>17652</v>
      </c>
      <c r="E12" s="95">
        <f>'DOE25'!H13</f>
        <v>41070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18065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311444</v>
      </c>
      <c r="D18" s="41">
        <f>SUM(D8:D17)</f>
        <v>20868</v>
      </c>
      <c r="E18" s="41">
        <f>SUM(E8:E17)</f>
        <v>62928</v>
      </c>
      <c r="F18" s="41">
        <f>SUM(F8:F17)</f>
        <v>0</v>
      </c>
      <c r="G18" s="41">
        <f>SUM(G8:G17)</f>
        <v>145462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1839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8210</v>
      </c>
      <c r="D22" s="95">
        <f>'DOE25'!G23</f>
        <v>16591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12355</v>
      </c>
      <c r="D23" s="95">
        <f>'DOE25'!G24</f>
        <v>0</v>
      </c>
      <c r="E23" s="95">
        <f>'DOE25'!H24</f>
        <v>2560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20614</v>
      </c>
      <c r="D27" s="95">
        <f>'DOE25'!G28</f>
        <v>4277</v>
      </c>
      <c r="E27" s="95">
        <f>'DOE25'!H28</f>
        <v>1050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35800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43018</v>
      </c>
      <c r="D31" s="41">
        <f>SUM(D21:D30)</f>
        <v>20868</v>
      </c>
      <c r="E31" s="41">
        <f>SUM(E21:E30)</f>
        <v>39410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23518</v>
      </c>
      <c r="F46" s="95">
        <f>'DOE25'!I47</f>
        <v>0</v>
      </c>
      <c r="G46" s="95">
        <f>'DOE25'!J47</f>
        <v>145462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39938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228488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268426</v>
      </c>
      <c r="D49" s="41">
        <f>SUM(D34:D48)</f>
        <v>0</v>
      </c>
      <c r="E49" s="41">
        <f>SUM(E34:E48)</f>
        <v>23518</v>
      </c>
      <c r="F49" s="41">
        <f>SUM(F34:F48)</f>
        <v>0</v>
      </c>
      <c r="G49" s="41">
        <f>SUM(G34:G48)</f>
        <v>145462</v>
      </c>
      <c r="H49" s="124"/>
      <c r="I49" s="124"/>
    </row>
    <row r="50" spans="1:9" ht="12" thickTop="1">
      <c r="A50" s="38" t="s">
        <v>895</v>
      </c>
      <c r="B50" s="2"/>
      <c r="C50" s="41">
        <f>C49+C31</f>
        <v>311444</v>
      </c>
      <c r="D50" s="41">
        <f>D49+D31</f>
        <v>20868</v>
      </c>
      <c r="E50" s="41">
        <f>E49+E31</f>
        <v>62928</v>
      </c>
      <c r="F50" s="41">
        <f>F49+F31</f>
        <v>0</v>
      </c>
      <c r="G50" s="41">
        <f>G49+G31</f>
        <v>145462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3826618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17942</v>
      </c>
      <c r="D56" s="24" t="s">
        <v>289</v>
      </c>
      <c r="E56" s="95">
        <f>'DOE25'!H78</f>
        <v>34175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114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28769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31674</v>
      </c>
      <c r="D60" s="95">
        <f>SUM('DOE25'!G97:G109)</f>
        <v>30100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49730</v>
      </c>
      <c r="D61" s="130">
        <f>SUM(D56:D60)</f>
        <v>58869</v>
      </c>
      <c r="E61" s="130">
        <f>SUM(E56:E60)</f>
        <v>34175</v>
      </c>
      <c r="F61" s="130">
        <f>SUM(F56:F60)</f>
        <v>0</v>
      </c>
      <c r="G61" s="130">
        <f>SUM(G56:G60)</f>
        <v>84</v>
      </c>
      <c r="H61"/>
      <c r="I61"/>
    </row>
    <row r="62" spans="1:9" ht="12" thickTop="1">
      <c r="A62" s="29" t="s">
        <v>175</v>
      </c>
      <c r="B62" s="6"/>
      <c r="C62" s="22">
        <f>C55+C61</f>
        <v>3876348</v>
      </c>
      <c r="D62" s="22">
        <f>D55+D61</f>
        <v>58869</v>
      </c>
      <c r="E62" s="22">
        <f>E55+E61</f>
        <v>34175</v>
      </c>
      <c r="F62" s="22">
        <f>F55+F61</f>
        <v>0</v>
      </c>
      <c r="G62" s="22">
        <f>G55+G61</f>
        <v>84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479428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1088348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415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1568191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8204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2718</v>
      </c>
      <c r="E76" s="95">
        <f>SUM('DOE25'!H130:H134)</f>
        <v>600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8204</v>
      </c>
      <c r="D77" s="130">
        <f>SUM(D71:D76)</f>
        <v>2718</v>
      </c>
      <c r="E77" s="130">
        <f>SUM(E71:E76)</f>
        <v>600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1576395</v>
      </c>
      <c r="D80" s="130">
        <f>SUM(D78:D79)+D77+D69</f>
        <v>2718</v>
      </c>
      <c r="E80" s="130">
        <f>SUM(E78:E79)+E77+E69</f>
        <v>600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45265</v>
      </c>
      <c r="D87" s="95">
        <f>SUM('DOE25'!G152:G160)</f>
        <v>55891</v>
      </c>
      <c r="E87" s="95">
        <f>SUM('DOE25'!H152:H160)</f>
        <v>213194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45265</v>
      </c>
      <c r="D90" s="131">
        <f>SUM(D84:D89)</f>
        <v>55891</v>
      </c>
      <c r="E90" s="131">
        <f>SUM(E84:E89)</f>
        <v>213194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14134</v>
      </c>
      <c r="E95" s="95">
        <f>'DOE25'!H178</f>
        <v>0</v>
      </c>
      <c r="F95" s="95">
        <f>'DOE25'!I178</f>
        <v>0</v>
      </c>
      <c r="G95" s="95">
        <f>'DOE25'!J178</f>
        <v>48000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14134</v>
      </c>
      <c r="E102" s="86">
        <f>SUM(E92:E101)</f>
        <v>0</v>
      </c>
      <c r="F102" s="86">
        <f>SUM(F92:F101)</f>
        <v>0</v>
      </c>
      <c r="G102" s="86">
        <f>SUM(G92:G101)</f>
        <v>48000</v>
      </c>
    </row>
    <row r="103" spans="1:7" ht="12.75" thickTop="1" thickBot="1">
      <c r="A103" s="33" t="s">
        <v>765</v>
      </c>
      <c r="C103" s="86">
        <f>C62+C80+C90+C102</f>
        <v>5498008</v>
      </c>
      <c r="D103" s="86">
        <f>D62+D80+D90+D102</f>
        <v>131612</v>
      </c>
      <c r="E103" s="86">
        <f>E62+E80+E90+E102</f>
        <v>247969</v>
      </c>
      <c r="F103" s="86">
        <f>F62+F80+F90+F102</f>
        <v>0</v>
      </c>
      <c r="G103" s="86">
        <f>G62+G80+G102</f>
        <v>48084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3474816</v>
      </c>
      <c r="D108" s="24" t="s">
        <v>289</v>
      </c>
      <c r="E108" s="95">
        <f>('DOE25'!L275)+('DOE25'!L294)+('DOE25'!L313)</f>
        <v>48567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549612</v>
      </c>
      <c r="D109" s="24" t="s">
        <v>289</v>
      </c>
      <c r="E109" s="95">
        <f>('DOE25'!L276)+('DOE25'!L295)+('DOE25'!L314)</f>
        <v>44505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3958</v>
      </c>
      <c r="D111" s="24" t="s">
        <v>289</v>
      </c>
      <c r="E111" s="95">
        <f>+('DOE25'!L278)+('DOE25'!L297)+('DOE25'!L316)</f>
        <v>121034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4028386</v>
      </c>
      <c r="D114" s="86">
        <f>SUM(D108:D113)</f>
        <v>0</v>
      </c>
      <c r="E114" s="86">
        <f>SUM(E108:E113)</f>
        <v>214106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252572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106387</v>
      </c>
      <c r="D118" s="24" t="s">
        <v>289</v>
      </c>
      <c r="E118" s="95">
        <f>+('DOE25'!L281)+('DOE25'!L300)+('DOE25'!L319)</f>
        <v>11311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238672</v>
      </c>
      <c r="D119" s="24" t="s">
        <v>289</v>
      </c>
      <c r="E119" s="95">
        <f>+('DOE25'!L282)+('DOE25'!L301)+('DOE25'!L320)</f>
        <v>8489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180050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2674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241077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188610</v>
      </c>
      <c r="D123" s="24" t="s">
        <v>289</v>
      </c>
      <c r="E123" s="95">
        <f>+('DOE25'!L286)+('DOE25'!L305)+('DOE25'!L324)</f>
        <v>11389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131612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1207368</v>
      </c>
      <c r="D127" s="86">
        <f>SUM(D117:D126)</f>
        <v>131612</v>
      </c>
      <c r="E127" s="86">
        <f>SUM(E117:E126)</f>
        <v>33863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14134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10030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38054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-84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62134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5297888</v>
      </c>
      <c r="D144" s="86">
        <f>(D114+D127+D143)</f>
        <v>131612</v>
      </c>
      <c r="E144" s="86">
        <f>(E114+E127+E143)</f>
        <v>247969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740</v>
      </c>
      <c r="B1" s="280"/>
      <c r="C1" s="280"/>
      <c r="D1" s="280"/>
    </row>
    <row r="2" spans="1:4">
      <c r="A2" s="187" t="s">
        <v>717</v>
      </c>
      <c r="B2" s="186" t="str">
        <f>'DOE25'!A2</f>
        <v>Madison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19796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19796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3523383</v>
      </c>
      <c r="D10" s="182">
        <f>ROUND((C10/$C$28)*100,1)</f>
        <v>63.4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594117</v>
      </c>
      <c r="D11" s="182">
        <f>ROUND((C11/$C$28)*100,1)</f>
        <v>10.7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124992</v>
      </c>
      <c r="D13" s="182">
        <f>ROUND((C13/$C$28)*100,1)</f>
        <v>2.2000000000000002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252572</v>
      </c>
      <c r="D15" s="182">
        <f t="shared" ref="D15:D27" si="0">ROUND((C15/$C$28)*100,1)</f>
        <v>4.5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117698</v>
      </c>
      <c r="D16" s="182">
        <f t="shared" si="0"/>
        <v>2.1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247161</v>
      </c>
      <c r="D17" s="182">
        <f t="shared" si="0"/>
        <v>4.4000000000000004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180050</v>
      </c>
      <c r="D18" s="182">
        <f t="shared" si="0"/>
        <v>3.2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2674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241077</v>
      </c>
      <c r="D20" s="182">
        <f t="shared" si="0"/>
        <v>4.3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199999</v>
      </c>
      <c r="D21" s="182">
        <f t="shared" si="0"/>
        <v>3.6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72743</v>
      </c>
      <c r="D27" s="182">
        <f t="shared" si="0"/>
        <v>1.3</v>
      </c>
    </row>
    <row r="28" spans="1:4">
      <c r="B28" s="187" t="s">
        <v>723</v>
      </c>
      <c r="C28" s="180">
        <f>SUM(C10:C27)</f>
        <v>5556466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5556466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3826618</v>
      </c>
      <c r="D35" s="182">
        <f t="shared" ref="D35:D40" si="1">ROUND((C35/$C$41)*100,1)</f>
        <v>65.900000000000006</v>
      </c>
    </row>
    <row r="36" spans="1:4">
      <c r="B36" s="185" t="s">
        <v>743</v>
      </c>
      <c r="C36" s="179">
        <f>SUM('DOE25'!F111:J111)-SUM('DOE25'!G96:G109)+('DOE25'!F173+'DOE25'!F174+'DOE25'!I173+'DOE25'!I174)-C35</f>
        <v>83989</v>
      </c>
      <c r="D36" s="182">
        <f t="shared" si="1"/>
        <v>1.4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1568191</v>
      </c>
      <c r="D37" s="182">
        <f t="shared" si="1"/>
        <v>27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11522</v>
      </c>
      <c r="D38" s="182">
        <f t="shared" si="1"/>
        <v>0.2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314350</v>
      </c>
      <c r="D39" s="182">
        <f t="shared" si="1"/>
        <v>5.4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5804670</v>
      </c>
      <c r="D41" s="184">
        <f>SUM(D35:D40)</f>
        <v>99.90000000000002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>
      <c r="A2" s="287" t="s">
        <v>767</v>
      </c>
      <c r="B2" s="288"/>
      <c r="C2" s="288"/>
      <c r="D2" s="288"/>
      <c r="E2" s="288"/>
      <c r="F2" s="293" t="str">
        <f>'DOE25'!A2</f>
        <v>Madison</v>
      </c>
      <c r="G2" s="294"/>
      <c r="H2" s="294"/>
      <c r="I2" s="294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>
      <c r="A74" s="212"/>
      <c r="B74" s="212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>
      <c r="A75" s="212"/>
      <c r="B75" s="212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>
      <c r="A76" s="212"/>
      <c r="B76" s="212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>
      <c r="A77" s="212"/>
      <c r="B77" s="212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>
      <c r="A78" s="212"/>
      <c r="B78" s="212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>
      <c r="A79" s="212"/>
      <c r="B79" s="212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>
      <c r="A80" s="212"/>
      <c r="B80" s="212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>
      <c r="A81" s="212"/>
      <c r="B81" s="212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>
      <c r="A82" s="212"/>
      <c r="B82" s="212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>
      <c r="A83" s="212"/>
      <c r="B83" s="212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>
      <c r="A84" s="212"/>
      <c r="B84" s="212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>
      <c r="A85" s="212"/>
      <c r="B85" s="212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>
      <c r="A86" s="212"/>
      <c r="B86" s="212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>
      <c r="A87" s="212"/>
      <c r="B87" s="212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>
      <c r="A88" s="212"/>
      <c r="B88" s="212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>
      <c r="A89" s="212"/>
      <c r="B89" s="212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>
      <c r="A90" s="212"/>
      <c r="B90" s="212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F0A" sheet="1" objects="1" scenarios="1"/>
  <mergeCells count="223">
    <mergeCell ref="P39:Z39"/>
    <mergeCell ref="AC39:AM39"/>
    <mergeCell ref="AP39:AZ39"/>
    <mergeCell ref="P40:Z40"/>
    <mergeCell ref="AC40:AM40"/>
    <mergeCell ref="C42:M42"/>
    <mergeCell ref="C41:M41"/>
    <mergeCell ref="DP40:DZ40"/>
    <mergeCell ref="C43:M43"/>
    <mergeCell ref="BC40:BM40"/>
    <mergeCell ref="BP40:BZ40"/>
    <mergeCell ref="CC40:CM40"/>
    <mergeCell ref="CP40:CZ40"/>
    <mergeCell ref="DC40:DM40"/>
    <mergeCell ref="IC40:I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C40:FM40"/>
    <mergeCell ref="FP40:FZ40"/>
    <mergeCell ref="IP40:IV40"/>
    <mergeCell ref="GC40:GM40"/>
    <mergeCell ref="GP40:GZ40"/>
    <mergeCell ref="HC40:HM40"/>
    <mergeCell ref="HP40:HZ40"/>
    <mergeCell ref="EC40:EM40"/>
    <mergeCell ref="EP40:EZ40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IC39:IM39"/>
    <mergeCell ref="HC39:HM39"/>
    <mergeCell ref="DC39:DM39"/>
    <mergeCell ref="DP39:DZ39"/>
    <mergeCell ref="EC39:EM39"/>
    <mergeCell ref="GC39:GM39"/>
    <mergeCell ref="FP38:FZ38"/>
    <mergeCell ref="GC38:GM38"/>
    <mergeCell ref="GP38:GZ38"/>
    <mergeCell ref="HC38:HM38"/>
    <mergeCell ref="HP38:HZ38"/>
    <mergeCell ref="HP39:HZ39"/>
    <mergeCell ref="FC31:FM31"/>
    <mergeCell ref="EP38:EZ38"/>
    <mergeCell ref="BP32:BZ32"/>
    <mergeCell ref="GP31:GZ31"/>
    <mergeCell ref="HC31:HM31"/>
    <mergeCell ref="HP31:HZ31"/>
    <mergeCell ref="IC31:IM31"/>
    <mergeCell ref="FP31:FZ31"/>
    <mergeCell ref="GC31:GM31"/>
    <mergeCell ref="HC32:HM32"/>
    <mergeCell ref="DC32:DM32"/>
    <mergeCell ref="IC38:IM38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2:DZ32"/>
    <mergeCell ref="EC32:EM32"/>
    <mergeCell ref="EP32:EZ32"/>
    <mergeCell ref="FP32:FZ32"/>
    <mergeCell ref="GC32:GM32"/>
    <mergeCell ref="GP32:GZ32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P38:Z38"/>
    <mergeCell ref="AC38:AM38"/>
    <mergeCell ref="P30:Z30"/>
    <mergeCell ref="AC30:AM30"/>
    <mergeCell ref="AP30:AZ30"/>
    <mergeCell ref="AP38:AZ38"/>
    <mergeCell ref="CC30:CM30"/>
    <mergeCell ref="CP30:CZ30"/>
    <mergeCell ref="DC30:DM30"/>
    <mergeCell ref="IP29:IV29"/>
    <mergeCell ref="C30:M30"/>
    <mergeCell ref="C31:M31"/>
    <mergeCell ref="P31:Z31"/>
    <mergeCell ref="AC31:AM31"/>
    <mergeCell ref="AP31:AZ31"/>
    <mergeCell ref="P32:Z32"/>
    <mergeCell ref="C33:M33"/>
    <mergeCell ref="C37:M37"/>
    <mergeCell ref="C32:M32"/>
    <mergeCell ref="BC30:BM30"/>
    <mergeCell ref="BP30:BZ30"/>
    <mergeCell ref="AC32:AM32"/>
    <mergeCell ref="AP32:AZ32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CP29:CZ29"/>
    <mergeCell ref="C11:M11"/>
    <mergeCell ref="C12:M12"/>
    <mergeCell ref="AP29:AZ29"/>
    <mergeCell ref="C21:M21"/>
    <mergeCell ref="C22:M22"/>
    <mergeCell ref="C23:M23"/>
    <mergeCell ref="DC29:DM29"/>
    <mergeCell ref="DP29:DZ29"/>
    <mergeCell ref="P29:Z29"/>
    <mergeCell ref="AC29:AM29"/>
    <mergeCell ref="C16:M16"/>
    <mergeCell ref="C17:M17"/>
    <mergeCell ref="C18:M18"/>
    <mergeCell ref="C19:M19"/>
    <mergeCell ref="BC29:BM29"/>
    <mergeCell ref="BP29:BZ29"/>
    <mergeCell ref="CC29:CM29"/>
    <mergeCell ref="A1:I1"/>
    <mergeCell ref="C3:M3"/>
    <mergeCell ref="C4:M4"/>
    <mergeCell ref="F2:I2"/>
    <mergeCell ref="C9:M9"/>
    <mergeCell ref="C10:M10"/>
    <mergeCell ref="C5:M5"/>
    <mergeCell ref="C6:M6"/>
    <mergeCell ref="C7:M7"/>
    <mergeCell ref="C8:M8"/>
    <mergeCell ref="A2:E2"/>
    <mergeCell ref="C20:M20"/>
    <mergeCell ref="C56:M56"/>
    <mergeCell ref="C57:M57"/>
    <mergeCell ref="C13:M13"/>
    <mergeCell ref="C34:M34"/>
    <mergeCell ref="C35:M35"/>
    <mergeCell ref="C36:M36"/>
    <mergeCell ref="C14:M14"/>
    <mergeCell ref="C15:M15"/>
    <mergeCell ref="C52:M52"/>
    <mergeCell ref="C50:M50"/>
    <mergeCell ref="C47:M47"/>
    <mergeCell ref="C48:M48"/>
    <mergeCell ref="C49:M49"/>
    <mergeCell ref="C51:M51"/>
    <mergeCell ref="C53:M53"/>
    <mergeCell ref="C54:M54"/>
    <mergeCell ref="C55:M55"/>
    <mergeCell ref="C38:M38"/>
    <mergeCell ref="C39:M39"/>
    <mergeCell ref="C40:M40"/>
    <mergeCell ref="C45:M45"/>
    <mergeCell ref="C46:M46"/>
    <mergeCell ref="C89:M89"/>
    <mergeCell ref="C90:M90"/>
    <mergeCell ref="C83:M83"/>
    <mergeCell ref="C84:M84"/>
    <mergeCell ref="C85:M85"/>
    <mergeCell ref="C86:M86"/>
    <mergeCell ref="C87:M87"/>
    <mergeCell ref="C88:M88"/>
    <mergeCell ref="C24:M24"/>
    <mergeCell ref="C66:M66"/>
    <mergeCell ref="C67:M67"/>
    <mergeCell ref="C68:M68"/>
    <mergeCell ref="C69:M69"/>
    <mergeCell ref="C79:M79"/>
    <mergeCell ref="C62:M62"/>
    <mergeCell ref="C63:M63"/>
    <mergeCell ref="C64:M64"/>
    <mergeCell ref="C65:M65"/>
    <mergeCell ref="C61:M61"/>
    <mergeCell ref="C59:M59"/>
    <mergeCell ref="C60:M60"/>
    <mergeCell ref="C58:M58"/>
    <mergeCell ref="C44:M44"/>
    <mergeCell ref="C81:M81"/>
    <mergeCell ref="C82:M82"/>
    <mergeCell ref="C75:M75"/>
    <mergeCell ref="C76:M76"/>
    <mergeCell ref="C77:M77"/>
    <mergeCell ref="C78:M78"/>
    <mergeCell ref="C29:M29"/>
    <mergeCell ref="C25:M25"/>
    <mergeCell ref="C26:M26"/>
    <mergeCell ref="C27:M27"/>
    <mergeCell ref="C28:M28"/>
    <mergeCell ref="C80:M80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2012-10-01T20:11:29Z</cp:lastPrinted>
  <dcterms:created xsi:type="dcterms:W3CDTF">1997-12-04T19:04:30Z</dcterms:created>
  <dcterms:modified xsi:type="dcterms:W3CDTF">2012-11-21T14:56:58Z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