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F367" i="1"/>
  <c r="G610" i="1"/>
  <c r="F610" i="1"/>
  <c r="H525" i="1"/>
  <c r="I525" i="1"/>
  <c r="J520" i="1"/>
  <c r="I520" i="1"/>
  <c r="G520" i="1"/>
  <c r="F520" i="1"/>
  <c r="F501" i="1"/>
  <c r="F500" i="1"/>
  <c r="F498" i="1"/>
  <c r="F496" i="1"/>
  <c r="J467" i="1" l="1"/>
  <c r="H471" i="1"/>
  <c r="H467" i="1"/>
  <c r="I357" i="1"/>
  <c r="H357" i="1"/>
  <c r="G357" i="1"/>
  <c r="H281" i="1"/>
  <c r="G281" i="1"/>
  <c r="F281" i="1"/>
  <c r="H280" i="1"/>
  <c r="G278" i="1"/>
  <c r="F278" i="1"/>
  <c r="J276" i="1"/>
  <c r="I276" i="1"/>
  <c r="G276" i="1"/>
  <c r="H243" i="1"/>
  <c r="I204" i="1"/>
  <c r="I202" i="1"/>
  <c r="I201" i="1"/>
  <c r="H208" i="1"/>
  <c r="H207" i="1"/>
  <c r="H203" i="1"/>
  <c r="H202" i="1"/>
  <c r="H201" i="1"/>
  <c r="G203" i="1"/>
  <c r="G202" i="1"/>
  <c r="G201" i="1"/>
  <c r="G199" i="1"/>
  <c r="G197" i="1"/>
  <c r="F203" i="1"/>
  <c r="F202" i="1"/>
  <c r="F201" i="1"/>
  <c r="F199" i="1"/>
  <c r="F197" i="1"/>
  <c r="H158" i="1"/>
  <c r="H154" i="1"/>
  <c r="H153" i="1"/>
  <c r="H149" i="1"/>
  <c r="G96" i="1"/>
  <c r="F109" i="1"/>
  <c r="J95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D19" i="13" s="1"/>
  <c r="C19" i="13" s="1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G31" i="13" s="1"/>
  <c r="K308" i="1"/>
  <c r="K327" i="1"/>
  <c r="L275" i="1"/>
  <c r="E108" i="2" s="1"/>
  <c r="L276" i="1"/>
  <c r="E109" i="2" s="1"/>
  <c r="L277" i="1"/>
  <c r="L278" i="1"/>
  <c r="E111" i="2" s="1"/>
  <c r="L280" i="1"/>
  <c r="L281" i="1"/>
  <c r="E118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6" i="10"/>
  <c r="C19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C110" i="2"/>
  <c r="E110" i="2"/>
  <c r="C112" i="2"/>
  <c r="E112" i="2"/>
  <c r="C113" i="2"/>
  <c r="E113" i="2"/>
  <c r="D114" i="2"/>
  <c r="F114" i="2"/>
  <c r="G114" i="2"/>
  <c r="E117" i="2"/>
  <c r="C118" i="2"/>
  <c r="E119" i="2"/>
  <c r="E120" i="2"/>
  <c r="C121" i="2"/>
  <c r="E121" i="2"/>
  <c r="E122" i="2"/>
  <c r="E123" i="2"/>
  <c r="E124" i="2"/>
  <c r="F127" i="2"/>
  <c r="G127" i="2"/>
  <c r="C129" i="2"/>
  <c r="E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F460" i="1"/>
  <c r="G460" i="1"/>
  <c r="H639" i="1" s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G644" i="1"/>
  <c r="H644" i="1"/>
  <c r="G649" i="1"/>
  <c r="H649" i="1"/>
  <c r="J649" i="1" s="1"/>
  <c r="G650" i="1"/>
  <c r="G651" i="1"/>
  <c r="H651" i="1"/>
  <c r="G652" i="1"/>
  <c r="H652" i="1"/>
  <c r="J652" i="1" s="1"/>
  <c r="G653" i="1"/>
  <c r="H653" i="1"/>
  <c r="J653" i="1" s="1"/>
  <c r="H654" i="1"/>
  <c r="F191" i="1"/>
  <c r="L255" i="1"/>
  <c r="G163" i="2"/>
  <c r="G159" i="2"/>
  <c r="C26" i="10"/>
  <c r="L327" i="1"/>
  <c r="L350" i="1"/>
  <c r="A31" i="12"/>
  <c r="G8" i="2"/>
  <c r="E49" i="2"/>
  <c r="D18" i="13"/>
  <c r="C18" i="13" s="1"/>
  <c r="D7" i="13"/>
  <c r="C7" i="13" s="1"/>
  <c r="F102" i="2"/>
  <c r="D17" i="13"/>
  <c r="C17" i="13" s="1"/>
  <c r="C90" i="2"/>
  <c r="G80" i="2"/>
  <c r="F77" i="2"/>
  <c r="F80" i="2" s="1"/>
  <c r="D49" i="2"/>
  <c r="F49" i="2"/>
  <c r="F18" i="2"/>
  <c r="G162" i="2"/>
  <c r="G160" i="2"/>
  <c r="G155" i="2"/>
  <c r="E143" i="2"/>
  <c r="G102" i="2"/>
  <c r="E102" i="2"/>
  <c r="F90" i="2"/>
  <c r="G61" i="2"/>
  <c r="E13" i="13"/>
  <c r="C13" i="13" s="1"/>
  <c r="L533" i="1" l="1"/>
  <c r="L528" i="1"/>
  <c r="I459" i="1"/>
  <c r="I460" i="1" s="1"/>
  <c r="H641" i="1" s="1"/>
  <c r="J641" i="1" s="1"/>
  <c r="F129" i="2"/>
  <c r="F143" i="2" s="1"/>
  <c r="F144" i="2" s="1"/>
  <c r="L381" i="1"/>
  <c r="G635" i="1" s="1"/>
  <c r="J635" i="1" s="1"/>
  <c r="D126" i="2"/>
  <c r="D127" i="2" s="1"/>
  <c r="D29" i="13"/>
  <c r="C29" i="13" s="1"/>
  <c r="H660" i="1"/>
  <c r="I660" i="1" s="1"/>
  <c r="L361" i="1"/>
  <c r="K337" i="1"/>
  <c r="K351" i="1" s="1"/>
  <c r="C13" i="10"/>
  <c r="F31" i="13"/>
  <c r="J337" i="1"/>
  <c r="J351" i="1" s="1"/>
  <c r="E114" i="2"/>
  <c r="L289" i="1"/>
  <c r="L246" i="1"/>
  <c r="D15" i="13"/>
  <c r="C15" i="13" s="1"/>
  <c r="C11" i="10"/>
  <c r="C10" i="10"/>
  <c r="H659" i="1"/>
  <c r="H663" i="1" s="1"/>
  <c r="H666" i="1" s="1"/>
  <c r="J651" i="1"/>
  <c r="K270" i="1"/>
  <c r="G33" i="13"/>
  <c r="C111" i="2"/>
  <c r="D6" i="13"/>
  <c r="C6" i="13" s="1"/>
  <c r="D14" i="13"/>
  <c r="C14" i="13" s="1"/>
  <c r="E8" i="13"/>
  <c r="C8" i="13" s="1"/>
  <c r="C117" i="2"/>
  <c r="C15" i="10"/>
  <c r="G648" i="1"/>
  <c r="J648" i="1" s="1"/>
  <c r="H646" i="1"/>
  <c r="C123" i="2"/>
  <c r="F661" i="1"/>
  <c r="I661" i="1" s="1"/>
  <c r="C21" i="10"/>
  <c r="C122" i="2"/>
  <c r="C120" i="2"/>
  <c r="D12" i="13"/>
  <c r="C12" i="13" s="1"/>
  <c r="C17" i="10"/>
  <c r="L210" i="1"/>
  <c r="F659" i="1" s="1"/>
  <c r="F663" i="1" s="1"/>
  <c r="A22" i="12"/>
  <c r="C108" i="2"/>
  <c r="D31" i="2"/>
  <c r="D50" i="2" s="1"/>
  <c r="C31" i="2"/>
  <c r="J619" i="1"/>
  <c r="E31" i="2"/>
  <c r="E50" i="2" s="1"/>
  <c r="D18" i="2"/>
  <c r="E18" i="2"/>
  <c r="G621" i="1"/>
  <c r="J616" i="1"/>
  <c r="E90" i="2"/>
  <c r="E103" i="2" s="1"/>
  <c r="C69" i="2"/>
  <c r="C80" i="2" s="1"/>
  <c r="F139" i="1"/>
  <c r="C61" i="2"/>
  <c r="C62" i="2" s="1"/>
  <c r="F50" i="2"/>
  <c r="H51" i="1"/>
  <c r="H618" i="1" s="1"/>
  <c r="J618" i="1" s="1"/>
  <c r="G51" i="1"/>
  <c r="H617" i="1" s="1"/>
  <c r="J617" i="1" s="1"/>
  <c r="C18" i="2"/>
  <c r="E77" i="2"/>
  <c r="E80" i="2" s="1"/>
  <c r="F103" i="2"/>
  <c r="L426" i="1"/>
  <c r="J256" i="1"/>
  <c r="H647" i="1" s="1"/>
  <c r="J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192" i="1" s="1"/>
  <c r="G628" i="1" s="1"/>
  <c r="J628" i="1" s="1"/>
  <c r="G551" i="1"/>
  <c r="L433" i="1"/>
  <c r="G637" i="1" s="1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C49" i="2"/>
  <c r="J654" i="1"/>
  <c r="J644" i="1"/>
  <c r="J192" i="1"/>
  <c r="L569" i="1"/>
  <c r="I570" i="1"/>
  <c r="I544" i="1"/>
  <c r="G36" i="2"/>
  <c r="G49" i="2" s="1"/>
  <c r="G50" i="2" s="1"/>
  <c r="J50" i="1"/>
  <c r="L564" i="1"/>
  <c r="L570" i="1" s="1"/>
  <c r="G544" i="1"/>
  <c r="H544" i="1"/>
  <c r="K550" i="1"/>
  <c r="L544" i="1" l="1"/>
  <c r="K551" i="1"/>
  <c r="J621" i="1"/>
  <c r="C27" i="10"/>
  <c r="C28" i="10" s="1"/>
  <c r="D23" i="10" s="1"/>
  <c r="G634" i="1"/>
  <c r="J634" i="1" s="1"/>
  <c r="E144" i="2"/>
  <c r="H671" i="1"/>
  <c r="C114" i="2"/>
  <c r="J270" i="1"/>
  <c r="C127" i="2"/>
  <c r="L256" i="1"/>
  <c r="L270" i="1" s="1"/>
  <c r="G631" i="1" s="1"/>
  <c r="J631" i="1" s="1"/>
  <c r="C39" i="10"/>
  <c r="C50" i="2"/>
  <c r="C38" i="10"/>
  <c r="C103" i="2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144" i="2" l="1"/>
  <c r="D27" i="10"/>
  <c r="D13" i="10"/>
  <c r="D20" i="10"/>
  <c r="D10" i="10"/>
  <c r="D16" i="10"/>
  <c r="D21" i="10"/>
  <c r="D26" i="10"/>
  <c r="D22" i="10"/>
  <c r="D15" i="10"/>
  <c r="D18" i="10"/>
  <c r="C30" i="10"/>
  <c r="D17" i="10"/>
  <c r="D25" i="10"/>
  <c r="D12" i="10"/>
  <c r="D19" i="10"/>
  <c r="D11" i="10"/>
  <c r="D24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40" i="10"/>
  <c r="D35" i="10"/>
  <c r="D38" i="10"/>
  <c r="D37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<sst xmlns="http://schemas.openxmlformats.org/spreadsheetml/2006/main" count="3945" uniqueCount="912">
  <si>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</si>
  <si>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</si>
  <si>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</si>
  <si>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</si>
  <si>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</si>
  <si>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</si>
  <si>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</si>
  <si>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</si>
  <si>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</si>
  <si>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</si>
  <si>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</si>
  <si>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</si>
  <si>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</si>
  <si>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</si>
  <si>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</si>
  <si>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</si>
  <si>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</si>
  <si>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</si>
  <si>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</si>
  <si>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</si>
  <si>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</si>
  <si>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</si>
  <si>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</si>
  <si>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</si>
  <si>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</si>
  <si>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</si>
  <si>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</si>
  <si>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</si>
  <si>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</si>
  <si>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</si>
  <si>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</si>
  <si>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</si>
  <si>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</si>
  <si>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</si>
  <si>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</si>
  <si>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</si>
  <si>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</si>
  <si>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</si>
  <si>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</si>
  <si>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</si>
  <si>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</si>
  <si>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</si>
  <si>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</si>
  <si>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</si>
  <si>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</si>
  <si>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</si>
  <si>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</si>
  <si>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</si>
  <si>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</si>
  <si>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</si>
  <si>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</si>
  <si>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</si>
  <si>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</si>
  <si>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</si>
  <si>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</si>
  <si>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</si>
  <si>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</si>
  <si>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</si>
  <si>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</si>
  <si>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</si>
  <si>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</si>
  <si>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</si>
  <si>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</si>
  <si>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</si>
  <si>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</si>
  <si>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</si>
  <si>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</si>
  <si>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</si>
  <si>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</si>
  <si>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</si>
  <si>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</si>
  <si>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</si>
  <si>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</si>
  <si>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</si>
  <si>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</si>
  <si>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</si>
  <si>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</si>
  <si>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</si>
  <si>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</si>
  <si>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</si>
  <si>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</si>
  <si>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</si>
  <si>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</si>
  <si>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</si>
  <si>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</si>
  <si>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</si>
  <si>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</si>
  <si>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</si>
  <si>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</si>
  <si>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</si>
  <si>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</si>
  <si>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</si>
  <si>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</si>
  <si>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</si>
  <si>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</si>
  <si>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</si>
  <si>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</si>
  <si>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</si>
  <si>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</si>
  <si>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</si>
  <si>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</si>
  <si>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</si>
  <si>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</si>
  <si>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</si>
  <si>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</si>
  <si>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</si>
  <si>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</si>
  <si>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</si>
  <si>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</si>
  <si>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</si>
  <si>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</si>
  <si>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</si>
  <si>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</si>
  <si>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</si>
  <si>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</si>
  <si>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</si>
  <si>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</si>
  <si>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</si>
  <si>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</si>
  <si>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</si>
  <si>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</si>
  <si>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</si>
  <si>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</si>
  <si>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</si>
  <si>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</si>
  <si>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</si>
  <si>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</si>
  <si>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</si>
  <si>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</si>
  <si>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</si>
  <si>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</si>
  <si>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</si>
  <si>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</si>
  <si>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</si>
  <si>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</si>
  <si>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</si>
  <si>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</si>
  <si>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</si>
  <si>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</si>
  <si>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</si>
  <si>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</si>
  <si>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</si>
  <si>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</si>
  <si>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</si>
  <si>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</si>
  <si>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</si>
  <si>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</si>
  <si>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</si>
  <si>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</si>
  <si>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</si>
  <si>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</si>
  <si>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</si>
  <si>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</si>
  <si>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</si>
  <si>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</si>
  <si>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</si>
  <si>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</si>
  <si>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</si>
  <si>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</si>
  <si>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</si>
  <si>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</si>
  <si>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</si>
  <si>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</si>
  <si>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</si>
  <si>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</si>
  <si>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</si>
  <si>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</si>
  <si>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</si>
  <si>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</si>
  <si>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</si>
  <si>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</si>
  <si>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</si>
  <si>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</si>
  <si>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</si>
  <si>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</si>
  <si>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</si>
  <si>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</si>
  <si>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</si>
  <si>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</si>
  <si>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</si>
  <si>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</si>
  <si>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</si>
  <si>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</si>
  <si>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</si>
  <si>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</si>
  <si>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</si>
  <si>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</si>
  <si>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</si>
  <si>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</si>
  <si>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</si>
  <si>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</si>
  <si>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</si>
  <si>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</si>
  <si>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</si>
  <si>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</si>
  <si>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</si>
  <si>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</si>
  <si>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</si>
  <si>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</si>
  <si>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</si>
  <si>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</si>
  <si>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</si>
  <si>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</si>
  <si>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</si>
  <si>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</si>
  <si>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</si>
  <si>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</si>
  <si>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</si>
  <si>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</si>
  <si>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</si>
  <si>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</si>
  <si>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</si>
  <si>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</si>
  <si>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</si>
  <si>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</si>
  <si>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</si>
  <si>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</si>
  <si>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</si>
  <si>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</si>
  <si>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</si>
  <si>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</si>
  <si>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</si>
  <si>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</si>
  <si>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</si>
  <si>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</si>
  <si>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</si>
  <si>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</si>
  <si>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</si>
  <si>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</si>
  <si>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</si>
  <si>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</si>
  <si>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</si>
  <si>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</si>
  <si>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</si>
  <si>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</si>
  <si>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</si>
  <si>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</si>
  <si>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</si>
  <si>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</si>
  <si>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</si>
  <si>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</si>
  <si>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</si>
  <si>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</si>
  <si>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</si>
  <si>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</si>
  <si>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</si>
  <si>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</si>
  <si>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</si>
  <si>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</si>
  <si>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</si>
  <si>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</si>
  <si>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</si>
  <si>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</si>
  <si>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</si>
  <si>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</si>
  <si>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</si>
  <si>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</si>
  <si>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</si>
  <si>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</si>
  <si>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</si>
  <si>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</si>
  <si>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</si>
  <si>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</si>
  <si>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</si>
  <si>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</si>
  <si>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</si>
  <si>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</si>
  <si>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</si>
  <si>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</si>
  <si>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</si>
  <si>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</si>
  <si>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</si>
  <si>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</si>
  <si>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</si>
  <si>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</si>
  <si>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</si>
  <si>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</si>
  <si>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</si>
  <si>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</si>
  <si>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</si>
  <si>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</si>
  <si>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</si>
  <si>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</si>
  <si>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</si>
  <si>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</si>
  <si>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</si>
  <si>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</si>
  <si>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</si>
  <si>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</si>
  <si>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</si>
  <si>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</si>
  <si>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</si>
  <si>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</si>
  <si>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</si>
  <si>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</si>
  <si>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</si>
  <si>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</si>
  <si>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</si>
  <si>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</si>
  <si>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</si>
  <si>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</si>
  <si>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</si>
  <si>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</si>
  <si>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</si>
  <si>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</si>
  <si>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</si>
  <si>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</si>
  <si>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</si>
  <si>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</si>
  <si>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</si>
  <si>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</si>
  <si>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</si>
  <si>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</si>
  <si>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</si>
  <si>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</si>
  <si>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</si>
  <si>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</si>
  <si>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</si>
  <si>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</si>
  <si>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</si>
  <si>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</si>
  <si>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</si>
  <si>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</si>
  <si>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</si>
  <si>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</si>
  <si>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</si>
  <si>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</si>
  <si>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</si>
  <si>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</si>
  <si>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</si>
  <si>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</si>
  <si>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</si>
  <si>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</si>
  <si>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</si>
  <si>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</si>
  <si>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</si>
  <si>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</si>
  <si>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</si>
  <si>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</si>
  <si>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</si>
  <si>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</si>
  <si>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</si>
  <si>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</si>
  <si>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</si>
  <si>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</si>
  <si>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</si>
  <si>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</si>
  <si>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</si>
  <si>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</si>
  <si>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</si>
  <si>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</si>
  <si>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</si>
  <si>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</si>
  <si>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</si>
  <si>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</si>
  <si>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</si>
  <si>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</si>
  <si>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</si>
  <si>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</si>
  <si>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</si>
  <si>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</si>
  <si>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</si>
  <si>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</si>
  <si>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</si>
  <si>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</si>
  <si>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</si>
  <si>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</si>
  <si>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</si>
  <si>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</si>
  <si>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</si>
  <si>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</si>
  <si>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</si>
  <si>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</si>
  <si>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</si>
  <si>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</si>
  <si>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</si>
  <si>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</si>
  <si>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</si>
  <si>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</si>
  <si>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</si>
  <si>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</si>
  <si>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</si>
  <si>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</si>
  <si>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</si>
  <si>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</si>
  <si>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</si>
  <si>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</si>
  <si>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</si>
  <si>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</si>
  <si>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</si>
  <si>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</si>
  <si>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</si>
  <si>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</si>
  <si>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</si>
  <si>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</si>
  <si>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</si>
  <si>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</si>
  <si>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</si>
  <si>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</si>
  <si>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</si>
  <si>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</si>
  <si>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</si>
  <si>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</si>
  <si>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</si>
  <si>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</si>
  <si>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</si>
  <si>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</si>
  <si>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</si>
  <si>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</si>
  <si>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</si>
  <si>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</si>
  <si>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</si>
  <si>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</si>
  <si>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</si>
  <si>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</si>
  <si>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</si>
  <si>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</si>
  <si>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</si>
  <si>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</si>
  <si>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</si>
  <si>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</si>
  <si>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</si>
  <si>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</si>
  <si>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</si>
  <si>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</si>
  <si>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</si>
  <si>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</si>
  <si>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</si>
  <si>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</si>
  <si>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</si>
  <si>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</si>
  <si>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</si>
  <si>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</si>
  <si>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</si>
  <si>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</si>
  <si>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</si>
  <si>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</si>
  <si>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</si>
  <si>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</si>
  <si>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</si>
  <si>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</si>
  <si>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</si>
  <si>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</si>
  <si>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</si>
  <si>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</si>
  <si>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</si>
  <si>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</si>
  <si>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</si>
  <si>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</si>
  <si>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</si>
  <si>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</si>
  <si>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</si>
  <si>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</si>
  <si>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</si>
  <si>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</si>
  <si>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</si>
  <si>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</si>
  <si>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</si>
  <si>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</si>
  <si>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</si>
  <si>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</si>
  <si>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</si>
  <si>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</si>
  <si>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</si>
  <si>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</si>
  <si>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</si>
  <si>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</si>
  <si>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</si>
  <si>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</si>
  <si>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</si>
  <si>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</si>
  <si>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</si>
  <si>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</si>
  <si>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</si>
  <si>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</si>
  <si>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</si>
  <si>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</si>
  <si>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</si>
  <si>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</si>
  <si>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</si>
  <si>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</si>
  <si>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</si>
  <si>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</si>
  <si>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</si>
  <si>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</si>
  <si>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</si>
  <si>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</si>
  <si>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</si>
  <si>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</si>
  <si>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</si>
  <si>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</si>
  <si>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</si>
  <si>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</si>
  <si>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</si>
  <si>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</si>
  <si>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</si>
  <si>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</si>
  <si>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</si>
  <si>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</si>
  <si>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</si>
  <si>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</si>
  <si>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</si>
  <si>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</si>
  <si>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</si>
  <si>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</si>
  <si>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</si>
  <si>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</si>
  <si>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</si>
  <si>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</si>
  <si>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</si>
  <si>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</si>
  <si>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</si>
  <si>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</si>
  <si>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</si>
  <si>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</si>
  <si>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</si>
  <si>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</si>
  <si>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</si>
  <si>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</si>
  <si>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</si>
  <si>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</si>
  <si>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</si>
  <si>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</si>
  <si>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</si>
  <si>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</si>
  <si>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</si>
  <si>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</si>
  <si>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</si>
  <si>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</si>
  <si>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</si>
  <si>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</si>
  <si>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</si>
  <si>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</si>
  <si>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</si>
  <si>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</si>
  <si>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</si>
  <si>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</si>
  <si>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</si>
  <si>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</si>
  <si>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</si>
  <si>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</si>
  <si>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</si>
  <si>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</si>
  <si>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</si>
  <si>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</si>
  <si>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</si>
  <si>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</si>
  <si>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</si>
  <si>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</si>
  <si>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</si>
  <si>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</si>
  <si>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</si>
  <si>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</si>
  <si>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</si>
  <si>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</si>
  <si>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</si>
  <si>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</si>
  <si>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</si>
  <si>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</si>
  <si>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</si>
  <si>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</si>
  <si>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</si>
  <si>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</si>
  <si>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</si>
  <si>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</si>
  <si>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</si>
  <si>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</si>
  <si>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</si>
  <si>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</si>
  <si>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</si>
  <si>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</si>
  <si>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</si>
  <si>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</si>
  <si>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</si>
  <si>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</si>
  <si>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</si>
  <si>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</si>
  <si>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</si>
  <si>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</si>
  <si>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</si>
  <si>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</si>
  <si>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</si>
  <si>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</si>
  <si>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</si>
  <si>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</si>
  <si>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</si>
  <si>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</si>
  <si>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</si>
  <si>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</si>
  <si>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</si>
  <si>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</si>
  <si>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</si>
  <si>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</si>
  <si>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</si>
  <si>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</si>
  <si>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</si>
  <si>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</si>
  <si>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</si>
  <si>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</si>
  <si>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</si>
  <si>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</si>
  <si>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</si>
  <si>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</si>
  <si>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</si>
  <si>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</si>
  <si>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</si>
  <si>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</si>
  <si>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</si>
  <si>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</si>
  <si>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</si>
  <si>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</si>
  <si>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</si>
  <si>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</si>
  <si>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</si>
  <si>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</si>
  <si>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</si>
  <si>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</si>
  <si>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</si>
  <si>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</si>
  <si>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</si>
  <si>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</si>
  <si>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</si>
  <si>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</si>
  <si>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</si>
  <si>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</si>
  <si>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</si>
  <si>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</si>
  <si>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</si>
  <si>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</si>
  <si>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</si>
  <si>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</si>
  <si>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</si>
  <si>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</si>
  <si>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</si>
  <si>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</si>
  <si>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</si>
  <si>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</si>
  <si>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</si>
  <si>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</si>
  <si>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</si>
  <si>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</si>
  <si>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</si>
  <si>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</si>
  <si>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</si>
  <si>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</si>
  <si>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</si>
  <si>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</si>
  <si>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</si>
  <si>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</si>
  <si>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</si>
  <si>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</si>
  <si>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</si>
  <si>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</si>
  <si>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</si>
  <si>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</si>
  <si>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</si>
  <si>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</si>
  <si>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</si>
  <si>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</si>
  <si>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</si>
  <si>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</si>
  <si>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</si>
  <si>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</si>
  <si>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</si>
  <si>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</si>
  <si>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</si>
  <si>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</si>
  <si>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</si>
  <si>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</si>
  <si>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</si>
  <si>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</si>
  <si>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</si>
  <si>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</si>
  <si>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</si>
  <si>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</si>
  <si>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</si>
  <si>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</si>
  <si>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</si>
  <si>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</si>
  <si>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</si>
  <si>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</si>
  <si>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</si>
  <si>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</si>
  <si>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</si>
  <si>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</si>
  <si>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</si>
  <si>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</si>
  <si>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</si>
  <si>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</si>
  <si>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</si>
  <si>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</si>
  <si>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</si>
  <si>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</si>
  <si>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</si>
  <si>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</si>
  <si>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</si>
  <si>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</si>
  <si>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</si>
  <si>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</si>
  <si>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</si>
  <si>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</si>
  <si>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</si>
  <si>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</si>
  <si>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</si>
  <si>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</si>
  <si>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</si>
  <si>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</si>
  <si>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</si>
  <si>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</si>
  <si>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</si>
  <si>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</si>
  <si>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</si>
  <si>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</si>
  <si>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</si>
  <si>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</si>
  <si>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</si>
  <si>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</si>
  <si>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</si>
  <si>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</si>
  <si>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</si>
  <si>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</si>
  <si>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</si>
  <si>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</si>
  <si>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</si>
  <si>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</si>
  <si>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</si>
  <si>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</si>
  <si>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</si>
  <si>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</si>
  <si>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</si>
  <si>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</si>
  <si>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</si>
  <si>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</si>
  <si>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</si>
  <si>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</si>
  <si>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</si>
  <si>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</si>
  <si>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</si>
  <si>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</si>
  <si>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</si>
  <si>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</si>
  <si>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</si>
  <si>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</si>
  <si>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</si>
  <si>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</si>
  <si>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</si>
  <si>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</si>
  <si>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</si>
  <si>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</si>
  <si>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</si>
  <si>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</si>
  <si>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</si>
  <si>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</si>
  <si>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</si>
  <si>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</si>
  <si>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</si>
  <si>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</si>
  <si>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</si>
  <si>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</si>
  <si>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</si>
  <si>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</si>
  <si>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</si>
  <si>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</si>
  <si>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</si>
  <si>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</si>
  <si>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</si>
  <si>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</si>
  <si>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</si>
  <si>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</si>
  <si>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</si>
  <si>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</si>
  <si>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</si>
  <si>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</si>
  <si>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</si>
  <si>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</si>
  <si>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</si>
  <si>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</si>
  <si>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</si>
  <si>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</si>
  <si>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</si>
  <si>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</si>
  <si>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</si>
  <si>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</si>
  <si>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</si>
  <si>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</si>
  <si>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</si>
  <si>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</si>
  <si>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</si>
  <si>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</si>
  <si>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</si>
  <si>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</si>
  <si>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</si>
  <si>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</si>
  <si>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</si>
  <si>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</si>
  <si>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</si>
  <si>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</si>
  <si>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</si>
  <si>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</si>
  <si>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</si>
  <si>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</si>
  <si>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</si>
  <si>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</si>
  <si>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</si>
  <si>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</si>
  <si>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</si>
  <si>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</si>
  <si>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</si>
  <si>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</si>
  <si>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</si>
  <si>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</si>
  <si>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</si>
  <si>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</si>
  <si>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</si>
  <si>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</si>
  <si>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</si>
  <si>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</si>
  <si>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</si>
  <si>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</si>
  <si>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</si>
  <si>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</si>
  <si>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</si>
  <si>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</si>
  <si>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</si>
  <si>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</si>
  <si>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</si>
  <si>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</si>
  <si>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</si>
  <si>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</si>
  <si>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</si>
  <si>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</si>
  <si>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</si>
  <si>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</si>
  <si>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</si>
  <si>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</si>
  <si>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</si>
  <si>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</si>
  <si>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</si>
  <si>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</si>
  <si>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</si>
  <si>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</si>
  <si>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</si>
  <si>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</si>
  <si>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</si>
  <si>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</si>
  <si>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</si>
  <si>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</si>
  <si>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</si>
  <si>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</si>
  <si>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</si>
  <si>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</si>
  <si>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</si>
  <si>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</si>
  <si>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</si>
  <si>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</si>
  <si>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</si>
  <si>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</si>
  <si>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</si>
  <si>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</si>
  <si>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</si>
  <si>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</si>
  <si>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</si>
  <si>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</si>
  <si>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</si>
  <si>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</si>
  <si>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</si>
  <si>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</si>
  <si>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</si>
  <si>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</si>
  <si>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</si>
  <si>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</si>
  <si>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</si>
  <si>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</si>
  <si>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</si>
  <si>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</si>
  <si>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</si>
  <si>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</si>
  <si>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</si>
  <si>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</si>
  <si>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</si>
  <si>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</si>
  <si>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</si>
  <si>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</si>
  <si>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</si>
  <si>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</si>
  <si>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</si>
  <si>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</si>
  <si>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</si>
  <si>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</si>
  <si>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</si>
  <si>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</si>
  <si>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</si>
  <si>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</si>
  <si>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</si>
  <si>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</si>
  <si>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</si>
  <si>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</si>
  <si>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</si>
  <si>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</si>
  <si>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</si>
  <si>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</si>
  <si>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</si>
  <si>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</si>
  <si>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</si>
  <si>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</si>
  <si>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</si>
  <si>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</si>
  <si>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</si>
  <si>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</si>
  <si>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Marlborough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</si>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</sst>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J196" sqref="J196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339</v>
      </c>
      <c r="C2" s="21">
        <v>339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479784.13+100-49166.4</f>
        <v>430717.73</v>
      </c>
      <c r="G9" s="18">
        <v>1455.15</v>
      </c>
      <c r="H9" s="18"/>
      <c r="I9" s="18">
        <v>95251.19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368.68</v>
      </c>
      <c r="G10" s="18"/>
      <c r="H10" s="18"/>
      <c r="I10" s="18"/>
      <c r="J10" s="67">
        <f>SUM(I439)</f>
        <v>359111.92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109547.02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21745.62</v>
      </c>
      <c r="G13" s="18"/>
      <c r="H13" s="18">
        <v>110338.51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522.62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6000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562379.04999999993</v>
      </c>
      <c r="G19" s="41">
        <f>SUM(G9:G18)</f>
        <v>1977.77</v>
      </c>
      <c r="H19" s="41">
        <f>SUM(H9:H18)</f>
        <v>116338.51</v>
      </c>
      <c r="I19" s="41">
        <f>SUM(I9:I18)</f>
        <v>95251.19</v>
      </c>
      <c r="J19" s="41">
        <f>SUM(J9:J18)</f>
        <v>359111.92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109547.02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1495.19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12584.44</v>
      </c>
      <c r="G24" s="18"/>
      <c r="H24" s="18">
        <v>4269.8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7704.56</v>
      </c>
      <c r="G28" s="18">
        <v>1009.65</v>
      </c>
      <c r="H28" s="18">
        <v>1026.5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968.12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20289</v>
      </c>
      <c r="G32" s="41">
        <f>SUM(G22:G31)</f>
        <v>1977.77</v>
      </c>
      <c r="H32" s="41">
        <f>SUM(H22:H31)</f>
        <v>116338.51000000001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95251.19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2300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359111.92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339790.05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542090.05000000005</v>
      </c>
      <c r="G50" s="41">
        <f>SUM(G35:G49)</f>
        <v>0</v>
      </c>
      <c r="H50" s="41">
        <f>SUM(H35:H49)</f>
        <v>0</v>
      </c>
      <c r="I50" s="41">
        <f>SUM(I35:I49)</f>
        <v>95251.19</v>
      </c>
      <c r="J50" s="41">
        <f>SUM(J35:J49)</f>
        <v>359111.92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562379.05000000005</v>
      </c>
      <c r="G51" s="41">
        <f>G50+G32</f>
        <v>1977.77</v>
      </c>
      <c r="H51" s="41">
        <f>H50+H32</f>
        <v>116338.51000000001</v>
      </c>
      <c r="I51" s="41">
        <f>I50+I32</f>
        <v>95251.19</v>
      </c>
      <c r="J51" s="41">
        <f>J50+J32</f>
        <v>359111.92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2851725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2851725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15024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15024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380.89</v>
      </c>
      <c r="G95" s="18"/>
      <c r="H95" s="18"/>
      <c r="I95" s="18"/>
      <c r="J95" s="18">
        <f>17.97+34.44</f>
        <v>52.41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21609.36+3153.55+3150.45+2768.85+2.75</f>
        <v>30684.959999999999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5250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>
        <v>69366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90.14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11802.45+3829.08</f>
        <v>15631.53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21352.560000000001</v>
      </c>
      <c r="G110" s="41">
        <f>SUM(G95:G109)</f>
        <v>30684.959999999999</v>
      </c>
      <c r="H110" s="41">
        <f>SUM(H95:H109)</f>
        <v>0</v>
      </c>
      <c r="I110" s="41">
        <f>SUM(I95:I109)</f>
        <v>69366</v>
      </c>
      <c r="J110" s="41">
        <f>SUM(J95:J109)</f>
        <v>52.41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2888101.56</v>
      </c>
      <c r="G111" s="41">
        <f>G59+G110</f>
        <v>30684.959999999999</v>
      </c>
      <c r="H111" s="41">
        <f>H59+H78+H93+H110</f>
        <v>0</v>
      </c>
      <c r="I111" s="41">
        <f>I59+I110</f>
        <v>69366</v>
      </c>
      <c r="J111" s="41">
        <f>J59+J110</f>
        <v>52.41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1181532.28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446611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1023.72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2464.8200000000002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1631631.82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331862.03999999998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221192.03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962.83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553054.06999999995</v>
      </c>
      <c r="G135" s="41">
        <f>SUM(G122:G134)</f>
        <v>962.83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2184685.89</v>
      </c>
      <c r="G139" s="41">
        <f>G120+SUM(G135:G136)</f>
        <v>962.83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10448.58+10492.23</f>
        <v>20940.809999999998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1579.29+2381.04+9190.9+56533.42</f>
        <v>69684.649999999994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4170.97+4101.8</f>
        <v>8272.77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45688.46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7770.14+1826.84+87430.55+3948</f>
        <v>100975.53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39106.06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34706.120000000003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73812.179999999993</v>
      </c>
      <c r="G161" s="41">
        <f>SUM(G149:G160)</f>
        <v>45688.46</v>
      </c>
      <c r="H161" s="41">
        <f>SUM(H149:H160)</f>
        <v>199873.76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73812.179999999993</v>
      </c>
      <c r="G168" s="41">
        <f>G146+G161+SUM(G162:G167)</f>
        <v>45688.46</v>
      </c>
      <c r="H168" s="41">
        <f>H146+H161+SUM(H162:H167)</f>
        <v>199873.76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21009.38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201231.88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201231.88</v>
      </c>
      <c r="G182" s="41">
        <f>SUM(G178:G181)</f>
        <v>21009.38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201231.88</v>
      </c>
      <c r="G191" s="41">
        <f>G182+SUM(G187:G190)</f>
        <v>21009.38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5347831.51</v>
      </c>
      <c r="G192" s="47">
        <f>G111+G139+G168+G191</f>
        <v>98345.63</v>
      </c>
      <c r="H192" s="47">
        <f>H111+H139+H168+H191</f>
        <v>199873.76</v>
      </c>
      <c r="I192" s="47">
        <f>I111+I139+I168+I191</f>
        <v>69366</v>
      </c>
      <c r="J192" s="47">
        <f>J111+J139+J191</f>
        <v>52.41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971281.22</v>
      </c>
      <c r="G196" s="18">
        <v>420775.06</v>
      </c>
      <c r="H196" s="18">
        <v>3180.93</v>
      </c>
      <c r="I196" s="18">
        <v>43795.96</v>
      </c>
      <c r="J196" s="18">
        <v>4577.1099999999997</v>
      </c>
      <c r="K196" s="18"/>
      <c r="L196" s="19">
        <f>SUM(F196:K196)</f>
        <v>1443610.28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267153.77+5017.5</f>
        <v>272171.27</v>
      </c>
      <c r="G197" s="18">
        <f>74485.97+401.41</f>
        <v>74887.38</v>
      </c>
      <c r="H197" s="18">
        <v>81680.09</v>
      </c>
      <c r="I197" s="18"/>
      <c r="J197" s="18">
        <v>69.47</v>
      </c>
      <c r="K197" s="18"/>
      <c r="L197" s="19">
        <f>SUM(F197:K197)</f>
        <v>428808.20999999996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9080+2410</f>
        <v>11490</v>
      </c>
      <c r="G199" s="18">
        <f>1102.08+333.9</f>
        <v>1435.98</v>
      </c>
      <c r="H199" s="18">
        <v>7720.28</v>
      </c>
      <c r="I199" s="18">
        <v>1843.63</v>
      </c>
      <c r="J199" s="18"/>
      <c r="K199" s="18">
        <v>10602</v>
      </c>
      <c r="L199" s="19">
        <f>SUM(F199:K199)</f>
        <v>33091.89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64316.98+43393.48</f>
        <v>107710.46</v>
      </c>
      <c r="G201" s="18">
        <f>27233.48+3471.52</f>
        <v>30705</v>
      </c>
      <c r="H201" s="18">
        <f>200+4020+7609.45+55076.47+2575+16997.6</f>
        <v>86478.51999999999</v>
      </c>
      <c r="I201" s="18">
        <f>121+1059.35+455.17+87.3</f>
        <v>1722.82</v>
      </c>
      <c r="J201" s="18">
        <v>270.45999999999998</v>
      </c>
      <c r="K201" s="18">
        <v>155</v>
      </c>
      <c r="L201" s="19">
        <f t="shared" ref="L201:L207" si="0">SUM(F201:K201)</f>
        <v>227042.26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3812.5+39628.63</f>
        <v>43441.13</v>
      </c>
      <c r="G202" s="18">
        <f>764.58+7000+25598.22</f>
        <v>33362.800000000003</v>
      </c>
      <c r="H202" s="18">
        <f>2848.13+1725</f>
        <v>4573.13</v>
      </c>
      <c r="I202" s="18">
        <f>350+5477.19</f>
        <v>5827.19</v>
      </c>
      <c r="J202" s="18"/>
      <c r="K202" s="18"/>
      <c r="L202" s="19">
        <f t="shared" si="0"/>
        <v>87204.25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5849.25+2400</f>
        <v>8249.25</v>
      </c>
      <c r="G203" s="18">
        <f>466.19+192+1000</f>
        <v>1658.19</v>
      </c>
      <c r="H203" s="18">
        <f>427.29+200+7845+10173.01+200+179370</f>
        <v>198215.3</v>
      </c>
      <c r="I203" s="18">
        <v>1236.01</v>
      </c>
      <c r="J203" s="18"/>
      <c r="K203" s="18">
        <v>2561.6</v>
      </c>
      <c r="L203" s="19">
        <f t="shared" si="0"/>
        <v>211920.35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124080.25</v>
      </c>
      <c r="G204" s="18">
        <v>50251.38</v>
      </c>
      <c r="H204" s="18">
        <v>4435.07</v>
      </c>
      <c r="I204" s="18">
        <f>3046.59+1100.77</f>
        <v>4147.3600000000006</v>
      </c>
      <c r="J204" s="18"/>
      <c r="K204" s="18">
        <v>596</v>
      </c>
      <c r="L204" s="19">
        <f t="shared" si="0"/>
        <v>183510.06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65394.06</v>
      </c>
      <c r="G206" s="18">
        <v>37774.42</v>
      </c>
      <c r="H206" s="18">
        <v>56027.25</v>
      </c>
      <c r="I206" s="18">
        <v>87689.71</v>
      </c>
      <c r="J206" s="18">
        <v>1538.91</v>
      </c>
      <c r="K206" s="18"/>
      <c r="L206" s="19">
        <f t="shared" si="0"/>
        <v>248424.35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88372.99+7066+6165.67+2857.44</f>
        <v>104462.1</v>
      </c>
      <c r="I207" s="18"/>
      <c r="J207" s="18"/>
      <c r="K207" s="18"/>
      <c r="L207" s="19">
        <f t="shared" si="0"/>
        <v>104462.1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8.9600000000000009</v>
      </c>
      <c r="H208" s="18">
        <f>989.5+1598.29</f>
        <v>2587.79</v>
      </c>
      <c r="I208" s="18">
        <v>8368.43</v>
      </c>
      <c r="J208" s="18">
        <v>10402.709999999999</v>
      </c>
      <c r="K208" s="18"/>
      <c r="L208" s="19">
        <f>SUM(F208:K208)</f>
        <v>21367.89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1603817.64</v>
      </c>
      <c r="G210" s="41">
        <f t="shared" si="1"/>
        <v>650859.16999999993</v>
      </c>
      <c r="H210" s="41">
        <f t="shared" si="1"/>
        <v>549360.46000000008</v>
      </c>
      <c r="I210" s="41">
        <f t="shared" si="1"/>
        <v>154631.10999999999</v>
      </c>
      <c r="J210" s="41">
        <f t="shared" si="1"/>
        <v>16858.66</v>
      </c>
      <c r="K210" s="41">
        <f t="shared" si="1"/>
        <v>13914.6</v>
      </c>
      <c r="L210" s="41">
        <f t="shared" si="1"/>
        <v>2989441.64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654765.4</v>
      </c>
      <c r="I232" s="18"/>
      <c r="J232" s="18"/>
      <c r="K232" s="18"/>
      <c r="L232" s="19">
        <f>SUM(F232:K232)</f>
        <v>654765.4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609758.56999999995</v>
      </c>
      <c r="I233" s="18"/>
      <c r="J233" s="18"/>
      <c r="K233" s="18"/>
      <c r="L233" s="19">
        <f>SUM(F233:K233)</f>
        <v>609758.56999999995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29048+5616</f>
        <v>34664</v>
      </c>
      <c r="I243" s="18"/>
      <c r="J243" s="18"/>
      <c r="K243" s="18"/>
      <c r="L243" s="19">
        <f t="shared" si="4"/>
        <v>34664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1299187.97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1299187.97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>
        <v>5250</v>
      </c>
      <c r="L252" s="19">
        <f t="shared" si="6"/>
        <v>5250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5250</v>
      </c>
      <c r="L255" s="41">
        <f>SUM(F255:K255)</f>
        <v>5250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1603817.64</v>
      </c>
      <c r="G256" s="41">
        <f t="shared" si="8"/>
        <v>650859.16999999993</v>
      </c>
      <c r="H256" s="41">
        <f t="shared" si="8"/>
        <v>1848548.4300000002</v>
      </c>
      <c r="I256" s="41">
        <f t="shared" si="8"/>
        <v>154631.10999999999</v>
      </c>
      <c r="J256" s="41">
        <f t="shared" si="8"/>
        <v>16858.66</v>
      </c>
      <c r="K256" s="41">
        <f t="shared" si="8"/>
        <v>19164.599999999999</v>
      </c>
      <c r="L256" s="41">
        <f t="shared" si="8"/>
        <v>4293879.6100000003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710173.09</v>
      </c>
      <c r="L259" s="19">
        <f>SUM(F259:K259)</f>
        <v>710173.09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110501.91</v>
      </c>
      <c r="L260" s="19">
        <f>SUM(F260:K260)</f>
        <v>110501.91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21009.38</v>
      </c>
      <c r="L262" s="19">
        <f>SUM(F262:K262)</f>
        <v>21009.38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841684.38</v>
      </c>
      <c r="L269" s="41">
        <f t="shared" si="9"/>
        <v>841684.38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1603817.64</v>
      </c>
      <c r="G270" s="42">
        <f t="shared" si="11"/>
        <v>650859.16999999993</v>
      </c>
      <c r="H270" s="42">
        <f t="shared" si="11"/>
        <v>1848548.4300000002</v>
      </c>
      <c r="I270" s="42">
        <f t="shared" si="11"/>
        <v>154631.10999999999</v>
      </c>
      <c r="J270" s="42">
        <f t="shared" si="11"/>
        <v>16858.66</v>
      </c>
      <c r="K270" s="42">
        <f t="shared" si="11"/>
        <v>860848.98</v>
      </c>
      <c r="L270" s="42">
        <f t="shared" si="11"/>
        <v>5135563.99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41221.300000000003</v>
      </c>
      <c r="G275" s="18">
        <v>5933.73</v>
      </c>
      <c r="H275" s="18"/>
      <c r="I275" s="18">
        <v>9510.66</v>
      </c>
      <c r="J275" s="18">
        <v>17107.47</v>
      </c>
      <c r="K275" s="18"/>
      <c r="L275" s="19">
        <f>SUM(F275:K275)</f>
        <v>73773.16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1130</v>
      </c>
      <c r="G276" s="18">
        <f>86.44+127.69+3.95</f>
        <v>218.07999999999998</v>
      </c>
      <c r="H276" s="18"/>
      <c r="I276" s="18">
        <f>11509.37+822.5</f>
        <v>12331.87</v>
      </c>
      <c r="J276" s="18">
        <f>7441.99+35344.2+1753.66+3948</f>
        <v>48487.85</v>
      </c>
      <c r="K276" s="18"/>
      <c r="L276" s="19">
        <f>SUM(F276:K276)</f>
        <v>62167.8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1730+1312.5</f>
        <v>3042.5</v>
      </c>
      <c r="G278" s="18">
        <f>100.41+132.36+77.68+56.5+4.6+6.06</f>
        <v>377.61000000000007</v>
      </c>
      <c r="H278" s="18"/>
      <c r="I278" s="18"/>
      <c r="J278" s="18"/>
      <c r="K278" s="18"/>
      <c r="L278" s="19">
        <f>SUM(F278:K278)</f>
        <v>3420.11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3311+300</f>
        <v>3611</v>
      </c>
      <c r="I280" s="18">
        <v>99.07</v>
      </c>
      <c r="J280" s="18"/>
      <c r="K280" s="18"/>
      <c r="L280" s="19">
        <f t="shared" ref="L280:L286" si="12">SUM(F280:K280)</f>
        <v>3710.07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3500+1250</f>
        <v>4750</v>
      </c>
      <c r="G281" s="18">
        <f>267.75+95.63+390.97+12.25+4.37</f>
        <v>770.97</v>
      </c>
      <c r="H281" s="18">
        <f>2596+3165+36746.86</f>
        <v>42507.86</v>
      </c>
      <c r="I281" s="18">
        <v>402.54</v>
      </c>
      <c r="J281" s="18"/>
      <c r="K281" s="18"/>
      <c r="L281" s="19">
        <f t="shared" si="12"/>
        <v>48431.37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3418</v>
      </c>
      <c r="I282" s="18"/>
      <c r="J282" s="18"/>
      <c r="K282" s="18"/>
      <c r="L282" s="19">
        <f t="shared" si="12"/>
        <v>3418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4953.25</v>
      </c>
      <c r="L284" s="19">
        <f t="shared" si="12"/>
        <v>4953.25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50143.8</v>
      </c>
      <c r="G289" s="42">
        <f t="shared" si="13"/>
        <v>7300.3899999999994</v>
      </c>
      <c r="H289" s="42">
        <f t="shared" si="13"/>
        <v>49536.86</v>
      </c>
      <c r="I289" s="42">
        <f t="shared" si="13"/>
        <v>22344.14</v>
      </c>
      <c r="J289" s="42">
        <f t="shared" si="13"/>
        <v>65595.320000000007</v>
      </c>
      <c r="K289" s="42">
        <f t="shared" si="13"/>
        <v>4953.25</v>
      </c>
      <c r="L289" s="41">
        <f t="shared" si="13"/>
        <v>199873.76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50143.8</v>
      </c>
      <c r="G337" s="41">
        <f t="shared" si="20"/>
        <v>7300.3899999999994</v>
      </c>
      <c r="H337" s="41">
        <f t="shared" si="20"/>
        <v>49536.86</v>
      </c>
      <c r="I337" s="41">
        <f t="shared" si="20"/>
        <v>22344.14</v>
      </c>
      <c r="J337" s="41">
        <f t="shared" si="20"/>
        <v>65595.320000000007</v>
      </c>
      <c r="K337" s="41">
        <f t="shared" si="20"/>
        <v>4953.25</v>
      </c>
      <c r="L337" s="41">
        <f t="shared" si="20"/>
        <v>199873.76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50143.8</v>
      </c>
      <c r="G351" s="41">
        <f>G337</f>
        <v>7300.3899999999994</v>
      </c>
      <c r="H351" s="41">
        <f>H337</f>
        <v>49536.86</v>
      </c>
      <c r="I351" s="41">
        <f>I337</f>
        <v>22344.14</v>
      </c>
      <c r="J351" s="41">
        <f>J337</f>
        <v>65595.320000000007</v>
      </c>
      <c r="K351" s="47">
        <f>K337+K350</f>
        <v>4953.25</v>
      </c>
      <c r="L351" s="41">
        <f>L337+L350</f>
        <v>199873.76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37310.65</v>
      </c>
      <c r="G357" s="18">
        <f>13942+700+36.96+87.88+2724.56+1954.61+772.85</f>
        <v>20218.859999999997</v>
      </c>
      <c r="H357" s="18">
        <f>5000+351.14+21.31</f>
        <v>5372.4500000000007</v>
      </c>
      <c r="I357" s="18">
        <f>1860.93+32370.77+325</f>
        <v>34556.699999999997</v>
      </c>
      <c r="J357" s="18"/>
      <c r="K357" s="18">
        <v>886.97</v>
      </c>
      <c r="L357" s="13">
        <f>SUM(F357:K357)</f>
        <v>98345.62999999999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37310.65</v>
      </c>
      <c r="G361" s="47">
        <f t="shared" si="22"/>
        <v>20218.859999999997</v>
      </c>
      <c r="H361" s="47">
        <f t="shared" si="22"/>
        <v>5372.4500000000007</v>
      </c>
      <c r="I361" s="47">
        <f t="shared" si="22"/>
        <v>34556.699999999997</v>
      </c>
      <c r="J361" s="47">
        <f t="shared" si="22"/>
        <v>0</v>
      </c>
      <c r="K361" s="47">
        <f t="shared" si="22"/>
        <v>886.97</v>
      </c>
      <c r="L361" s="47">
        <f t="shared" si="22"/>
        <v>98345.62999999999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32370.77</v>
      </c>
      <c r="G366" s="18"/>
      <c r="H366" s="18"/>
      <c r="I366" s="56">
        <f>SUM(F366:H366)</f>
        <v>32370.77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1860.93+325</f>
        <v>2185.9300000000003</v>
      </c>
      <c r="G367" s="63"/>
      <c r="H367" s="63"/>
      <c r="I367" s="56">
        <f>SUM(F367:H367)</f>
        <v>2185.9300000000003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34556.699999999997</v>
      </c>
      <c r="G368" s="47">
        <f>SUM(G366:G367)</f>
        <v>0</v>
      </c>
      <c r="H368" s="47">
        <f>SUM(H366:H367)</f>
        <v>0</v>
      </c>
      <c r="I368" s="47">
        <f>SUM(I366:I367)</f>
        <v>34556.699999999997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-42984.51</v>
      </c>
      <c r="I377" s="18"/>
      <c r="J377" s="18">
        <v>36786.1</v>
      </c>
      <c r="K377" s="18"/>
      <c r="L377" s="13">
        <f t="shared" si="23"/>
        <v>-6198.4100000000035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69366</v>
      </c>
      <c r="I378" s="18"/>
      <c r="J378" s="18"/>
      <c r="K378" s="18"/>
      <c r="L378" s="13">
        <f t="shared" si="23"/>
        <v>69366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200000</v>
      </c>
      <c r="L380" s="13">
        <f t="shared" si="23"/>
        <v>200000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26381.489999999998</v>
      </c>
      <c r="I381" s="41">
        <f t="shared" si="24"/>
        <v>0</v>
      </c>
      <c r="J381" s="47">
        <f t="shared" si="24"/>
        <v>36786.1</v>
      </c>
      <c r="K381" s="47">
        <f t="shared" si="24"/>
        <v>200000</v>
      </c>
      <c r="L381" s="47">
        <f t="shared" si="24"/>
        <v>263167.58999999997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34.44</v>
      </c>
      <c r="I388" s="18"/>
      <c r="J388" s="24" t="s">
        <v>289</v>
      </c>
      <c r="K388" s="24" t="s">
        <v>289</v>
      </c>
      <c r="L388" s="56">
        <f t="shared" si="25"/>
        <v>34.44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34.44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34.44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17.97</v>
      </c>
      <c r="I397" s="18"/>
      <c r="J397" s="24" t="s">
        <v>289</v>
      </c>
      <c r="K397" s="24" t="s">
        <v>289</v>
      </c>
      <c r="L397" s="56">
        <f t="shared" si="26"/>
        <v>17.97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17.97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17.97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52.41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52.41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235943.16</v>
      </c>
      <c r="G439" s="18">
        <v>123168.76</v>
      </c>
      <c r="H439" s="18"/>
      <c r="I439" s="56">
        <f t="shared" si="33"/>
        <v>359111.92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235943.16</v>
      </c>
      <c r="G445" s="13">
        <f>SUM(G438:G444)</f>
        <v>123168.76</v>
      </c>
      <c r="H445" s="13">
        <f>SUM(H438:H444)</f>
        <v>0</v>
      </c>
      <c r="I445" s="13">
        <f>SUM(I438:I444)</f>
        <v>359111.92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235943.16</v>
      </c>
      <c r="G458" s="18">
        <v>123168.76</v>
      </c>
      <c r="H458" s="18"/>
      <c r="I458" s="56">
        <f t="shared" si="34"/>
        <v>359111.92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235943.16</v>
      </c>
      <c r="G459" s="83">
        <f>SUM(G453:G458)</f>
        <v>123168.76</v>
      </c>
      <c r="H459" s="83">
        <f>SUM(H453:H458)</f>
        <v>0</v>
      </c>
      <c r="I459" s="83">
        <f>SUM(I453:I458)</f>
        <v>359111.92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235943.16</v>
      </c>
      <c r="G460" s="42">
        <f>G451+G459</f>
        <v>123168.76</v>
      </c>
      <c r="H460" s="42">
        <f>H451+H459</f>
        <v>0</v>
      </c>
      <c r="I460" s="42">
        <f>I451+I459</f>
        <v>359111.92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329822.53000000003</v>
      </c>
      <c r="G464" s="18">
        <v>0</v>
      </c>
      <c r="H464" s="18">
        <v>0</v>
      </c>
      <c r="I464" s="18">
        <v>339052.78</v>
      </c>
      <c r="J464" s="18">
        <v>359059.51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5347831.51</v>
      </c>
      <c r="G467" s="18">
        <v>98345.63</v>
      </c>
      <c r="H467" s="18">
        <f>199873.76</f>
        <v>199873.76</v>
      </c>
      <c r="I467" s="18">
        <v>69366</v>
      </c>
      <c r="J467" s="18">
        <f>17.97+34.44</f>
        <v>52.41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5347831.51</v>
      </c>
      <c r="G469" s="53">
        <f>SUM(G467:G468)</f>
        <v>98345.63</v>
      </c>
      <c r="H469" s="53">
        <f>SUM(H467:H468)</f>
        <v>199873.76</v>
      </c>
      <c r="I469" s="53">
        <f>SUM(I467:I468)</f>
        <v>69366</v>
      </c>
      <c r="J469" s="53">
        <f>SUM(J467:J468)</f>
        <v>52.41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5135563.99</v>
      </c>
      <c r="G471" s="18">
        <v>98345.63</v>
      </c>
      <c r="H471" s="18">
        <f>199873.76</f>
        <v>199873.76</v>
      </c>
      <c r="I471" s="18">
        <v>263167.59000000003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>
        <v>50000</v>
      </c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5135563.99</v>
      </c>
      <c r="G473" s="53">
        <f>SUM(G471:G472)</f>
        <v>98345.63</v>
      </c>
      <c r="H473" s="53">
        <f>SUM(H471:H472)</f>
        <v>199873.76</v>
      </c>
      <c r="I473" s="53">
        <f>SUM(I471:I472)</f>
        <v>313167.59000000003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542090.04999999981</v>
      </c>
      <c r="G475" s="53">
        <f>(G464+G469)- G473</f>
        <v>0</v>
      </c>
      <c r="H475" s="53">
        <f>(H464+H469)- H473</f>
        <v>0</v>
      </c>
      <c r="I475" s="53">
        <f>(I464+I469)- I473</f>
        <v>95251.19</v>
      </c>
      <c r="J475" s="53">
        <f>(J464+J469)- J473</f>
        <v>359111.92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10960000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4.33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8958963.6099999994</v>
      </c>
      <c r="G494" s="18"/>
      <c r="H494" s="18"/>
      <c r="I494" s="18"/>
      <c r="J494" s="18"/>
      <c r="K494" s="53">
        <f>SUM(F494:J494)</f>
        <v>8958963.6099999994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517913.11+192259.98</f>
        <v>710173.09</v>
      </c>
      <c r="G496" s="18"/>
      <c r="H496" s="18"/>
      <c r="I496" s="18"/>
      <c r="J496" s="18"/>
      <c r="K496" s="53">
        <f t="shared" si="35"/>
        <v>710173.09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8248790.5199999996</v>
      </c>
      <c r="G497" s="205"/>
      <c r="H497" s="205"/>
      <c r="I497" s="205"/>
      <c r="J497" s="205"/>
      <c r="K497" s="206">
        <f t="shared" si="35"/>
        <v>8248790.5199999996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5773561.39-76924.39-33577.52</f>
        <v>5663059.4800000004</v>
      </c>
      <c r="G498" s="18"/>
      <c r="H498" s="18"/>
      <c r="I498" s="18"/>
      <c r="J498" s="18"/>
      <c r="K498" s="53">
        <f t="shared" si="35"/>
        <v>5663059.4800000004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13911850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13911850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f>500125.12+176170.17</f>
        <v>676295.29</v>
      </c>
      <c r="G500" s="205"/>
      <c r="H500" s="205"/>
      <c r="I500" s="205"/>
      <c r="J500" s="205"/>
      <c r="K500" s="206">
        <f t="shared" si="35"/>
        <v>676295.29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100712.38+40292.33</f>
        <v>141004.71000000002</v>
      </c>
      <c r="G501" s="18"/>
      <c r="H501" s="18"/>
      <c r="I501" s="18"/>
      <c r="J501" s="18"/>
      <c r="K501" s="53">
        <f t="shared" si="35"/>
        <v>141004.71000000002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817300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817300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118314.82+14173.57+134665.38+1130</f>
        <v>268283.77</v>
      </c>
      <c r="G520" s="18">
        <f>35262+1942+149.42+1046.89+20088.89+15056.76+940.01+86.44+127.69+3.95</f>
        <v>74704.049999999988</v>
      </c>
      <c r="H520" s="18">
        <v>51592.639999999999</v>
      </c>
      <c r="I520" s="18">
        <f>11509.37+822.5</f>
        <v>12331.87</v>
      </c>
      <c r="J520" s="18">
        <f>69.47+7441.99+35344.2</f>
        <v>42855.659999999996</v>
      </c>
      <c r="K520" s="18"/>
      <c r="L520" s="88">
        <f>SUM(F520:K520)</f>
        <v>449767.99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268283.77</v>
      </c>
      <c r="G523" s="108">
        <f t="shared" ref="G523:L523" si="36">SUM(G520:G522)</f>
        <v>74704.049999999988</v>
      </c>
      <c r="H523" s="108">
        <f t="shared" si="36"/>
        <v>51592.639999999999</v>
      </c>
      <c r="I523" s="108">
        <f t="shared" si="36"/>
        <v>12331.87</v>
      </c>
      <c r="J523" s="108">
        <f t="shared" si="36"/>
        <v>42855.659999999996</v>
      </c>
      <c r="K523" s="108">
        <f t="shared" si="36"/>
        <v>0</v>
      </c>
      <c r="L523" s="89">
        <f t="shared" si="36"/>
        <v>449767.99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7609.45+55076.47+2575+16318.06+679.54+36746.86+1725</f>
        <v>120730.37999999999</v>
      </c>
      <c r="I525" s="18">
        <f>455.17+87.3</f>
        <v>542.47</v>
      </c>
      <c r="J525" s="18">
        <v>270.45999999999998</v>
      </c>
      <c r="K525" s="18"/>
      <c r="L525" s="88">
        <f>SUM(F525:K525)</f>
        <v>121543.31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120730.37999999999</v>
      </c>
      <c r="I528" s="89">
        <f t="shared" si="37"/>
        <v>542.47</v>
      </c>
      <c r="J528" s="89">
        <f t="shared" si="37"/>
        <v>270.45999999999998</v>
      </c>
      <c r="K528" s="89">
        <f t="shared" si="37"/>
        <v>0</v>
      </c>
      <c r="L528" s="89">
        <f t="shared" si="37"/>
        <v>121543.31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18611</v>
      </c>
      <c r="I530" s="18"/>
      <c r="J530" s="18"/>
      <c r="K530" s="18">
        <v>1987.69</v>
      </c>
      <c r="L530" s="88">
        <f>SUM(F530:K530)</f>
        <v>20598.689999999999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18611</v>
      </c>
      <c r="I533" s="89">
        <f t="shared" si="38"/>
        <v>0</v>
      </c>
      <c r="J533" s="89">
        <f t="shared" si="38"/>
        <v>0</v>
      </c>
      <c r="K533" s="89">
        <f t="shared" si="38"/>
        <v>1987.69</v>
      </c>
      <c r="L533" s="89">
        <f t="shared" si="38"/>
        <v>20598.689999999999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>
        <v>7066</v>
      </c>
      <c r="J540" s="18"/>
      <c r="K540" s="18"/>
      <c r="L540" s="88">
        <f>SUM(F540:K540)</f>
        <v>7066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7066</v>
      </c>
      <c r="J543" s="194">
        <f t="shared" si="40"/>
        <v>0</v>
      </c>
      <c r="K543" s="194">
        <f t="shared" si="40"/>
        <v>0</v>
      </c>
      <c r="L543" s="194">
        <f t="shared" si="40"/>
        <v>7066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268283.77</v>
      </c>
      <c r="G544" s="89">
        <f t="shared" ref="G544:L544" si="41">G523+G528+G533+G538+G543</f>
        <v>74704.049999999988</v>
      </c>
      <c r="H544" s="89">
        <f t="shared" si="41"/>
        <v>190934.02</v>
      </c>
      <c r="I544" s="89">
        <f t="shared" si="41"/>
        <v>19940.34</v>
      </c>
      <c r="J544" s="89">
        <f t="shared" si="41"/>
        <v>43126.119999999995</v>
      </c>
      <c r="K544" s="89">
        <f t="shared" si="41"/>
        <v>1987.69</v>
      </c>
      <c r="L544" s="89">
        <f t="shared" si="41"/>
        <v>598975.99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449767.99</v>
      </c>
      <c r="G548" s="87">
        <f>L525</f>
        <v>121543.31</v>
      </c>
      <c r="H548" s="87">
        <f>L530</f>
        <v>20598.689999999999</v>
      </c>
      <c r="I548" s="87">
        <f>L535</f>
        <v>0</v>
      </c>
      <c r="J548" s="87">
        <f>L540</f>
        <v>7066</v>
      </c>
      <c r="K548" s="87">
        <f>SUM(F548:J548)</f>
        <v>598975.99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449767.99</v>
      </c>
      <c r="G551" s="89">
        <f t="shared" si="42"/>
        <v>121543.31</v>
      </c>
      <c r="H551" s="89">
        <f t="shared" si="42"/>
        <v>20598.689999999999</v>
      </c>
      <c r="I551" s="89">
        <f t="shared" si="42"/>
        <v>0</v>
      </c>
      <c r="J551" s="89">
        <f t="shared" si="42"/>
        <v>7066</v>
      </c>
      <c r="K551" s="89">
        <f t="shared" si="42"/>
        <v>598975.99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654765.4</v>
      </c>
      <c r="I574" s="87">
        <f>SUM(F574:H574)</f>
        <v>654765.4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30087.45</v>
      </c>
      <c r="G578" s="18"/>
      <c r="H578" s="18">
        <v>240130.25</v>
      </c>
      <c r="I578" s="87">
        <f t="shared" si="47"/>
        <v>270217.7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51592.639999999999</v>
      </c>
      <c r="G581" s="18"/>
      <c r="H581" s="18">
        <v>369628.32</v>
      </c>
      <c r="I581" s="87">
        <f t="shared" si="47"/>
        <v>421220.96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88372.99</v>
      </c>
      <c r="I590" s="18"/>
      <c r="J590" s="18">
        <v>29048</v>
      </c>
      <c r="K590" s="104">
        <f t="shared" ref="K590:K596" si="48">SUM(H590:J590)</f>
        <v>117420.99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7066</v>
      </c>
      <c r="I591" s="18"/>
      <c r="J591" s="18">
        <v>5616</v>
      </c>
      <c r="K591" s="104">
        <f t="shared" si="48"/>
        <v>12682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6165.67</v>
      </c>
      <c r="I593" s="18"/>
      <c r="J593" s="18"/>
      <c r="K593" s="104">
        <f t="shared" si="48"/>
        <v>6165.67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2857.44</v>
      </c>
      <c r="I594" s="18"/>
      <c r="J594" s="18"/>
      <c r="K594" s="104">
        <f t="shared" si="48"/>
        <v>2857.44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104462.1</v>
      </c>
      <c r="I597" s="108">
        <f>SUM(I590:I596)</f>
        <v>0</v>
      </c>
      <c r="J597" s="108">
        <f>SUM(J590:J596)</f>
        <v>34664</v>
      </c>
      <c r="K597" s="108">
        <f>SUM(K590:K596)</f>
        <v>139126.1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82453.98</v>
      </c>
      <c r="I603" s="18"/>
      <c r="J603" s="18"/>
      <c r="K603" s="104">
        <f>SUM(H603:J603)</f>
        <v>82453.98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82453.98</v>
      </c>
      <c r="I604" s="108">
        <f>SUM(I601:I603)</f>
        <v>0</v>
      </c>
      <c r="J604" s="108">
        <f>SUM(J601:J603)</f>
        <v>0</v>
      </c>
      <c r="K604" s="108">
        <f>SUM(K601:K603)</f>
        <v>82453.98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2410+1730+1312.5</f>
        <v>5452.5</v>
      </c>
      <c r="G610" s="18">
        <f>184.38+139.95+9.57+100.41+132.36+77.68+56.5+4.6+6.06</f>
        <v>711.50999999999988</v>
      </c>
      <c r="H610" s="18"/>
      <c r="I610" s="18"/>
      <c r="J610" s="18"/>
      <c r="K610" s="18"/>
      <c r="L610" s="88">
        <f>SUM(F610:K610)</f>
        <v>6164.01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5452.5</v>
      </c>
      <c r="G613" s="108">
        <f t="shared" si="49"/>
        <v>711.50999999999988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6164.01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562379.04999999993</v>
      </c>
      <c r="H616" s="109">
        <f>SUM(F51)</f>
        <v>562379.05000000005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1977.77</v>
      </c>
      <c r="H617" s="109">
        <f>SUM(G51)</f>
        <v>1977.77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116338.51</v>
      </c>
      <c r="H618" s="109">
        <f>SUM(H51)</f>
        <v>116338.51000000001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95251.19</v>
      </c>
      <c r="H619" s="109">
        <f>SUM(I51)</f>
        <v>95251.19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359111.92</v>
      </c>
      <c r="H620" s="109">
        <f>SUM(J51)</f>
        <v>359111.92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542090.05000000005</v>
      </c>
      <c r="H621" s="109">
        <f>F475</f>
        <v>542090.04999999981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95251.19</v>
      </c>
      <c r="H624" s="109">
        <f>I475</f>
        <v>95251.19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359111.92</v>
      </c>
      <c r="H625" s="109">
        <f>J475</f>
        <v>359111.92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5347831.51</v>
      </c>
      <c r="H626" s="104">
        <f>SUM(F467)</f>
        <v>5347831.51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98345.63</v>
      </c>
      <c r="H627" s="104">
        <f>SUM(G467)</f>
        <v>98345.63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199873.76</v>
      </c>
      <c r="H628" s="104">
        <f>SUM(H467)</f>
        <v>199873.76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69366</v>
      </c>
      <c r="H629" s="104">
        <f>SUM(I467)</f>
        <v>69366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52.41</v>
      </c>
      <c r="H630" s="104">
        <f>SUM(J467)</f>
        <v>52.41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5135563.99</v>
      </c>
      <c r="H631" s="104">
        <f>SUM(F471)</f>
        <v>5135563.99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199873.76</v>
      </c>
      <c r="H632" s="104">
        <f>SUM(H471)</f>
        <v>199873.76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34556.699999999997</v>
      </c>
      <c r="H633" s="104">
        <f>I368</f>
        <v>34556.699999999997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98345.62999999999</v>
      </c>
      <c r="H634" s="104">
        <f>SUM(G471)</f>
        <v>98345.63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263167.58999999997</v>
      </c>
      <c r="H635" s="104">
        <f>SUM(I471)</f>
        <v>263167.59000000003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52.41</v>
      </c>
      <c r="H636" s="164">
        <f>SUM(J467)</f>
        <v>52.41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235943.16</v>
      </c>
      <c r="H638" s="104">
        <f>SUM(F460)</f>
        <v>235943.16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123168.76</v>
      </c>
      <c r="H639" s="104">
        <f>SUM(G460)</f>
        <v>123168.76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359111.92</v>
      </c>
      <c r="H641" s="104">
        <f>SUM(I460)</f>
        <v>359111.92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52.41</v>
      </c>
      <c r="H643" s="104">
        <f>H407</f>
        <v>52.41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52.41</v>
      </c>
      <c r="H645" s="104">
        <f>L407</f>
        <v>52.41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139126.1</v>
      </c>
      <c r="H646" s="104">
        <f>L207+L225+L243</f>
        <v>139126.1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82453.98</v>
      </c>
      <c r="H647" s="104">
        <f>(J256+J337)-(J254+J335)</f>
        <v>82453.98000000001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104462.1</v>
      </c>
      <c r="H648" s="104">
        <f>H597</f>
        <v>104462.1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34664</v>
      </c>
      <c r="H650" s="104">
        <f>J597</f>
        <v>34664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21009.38</v>
      </c>
      <c r="H651" s="104">
        <f>K262+K344</f>
        <v>21009.38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3287661.0300000003</v>
      </c>
      <c r="G659" s="19">
        <f>(L228+L308+L358)</f>
        <v>0</v>
      </c>
      <c r="H659" s="19">
        <f>(L246+L327+L359)</f>
        <v>1299187.97</v>
      </c>
      <c r="I659" s="19">
        <f>SUM(F659:H659)</f>
        <v>4586849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30684.959999999999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30684.959999999999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104462.1</v>
      </c>
      <c r="G661" s="19">
        <f>(L225+L305)-(J225+J305)</f>
        <v>0</v>
      </c>
      <c r="H661" s="19">
        <f>(L243+L324)-(J243+J324)</f>
        <v>34664</v>
      </c>
      <c r="I661" s="19">
        <f>SUM(F661:H661)</f>
        <v>139126.1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170298.08000000002</v>
      </c>
      <c r="G662" s="200">
        <f>SUM(G574:G586)+SUM(I601:I603)+L611</f>
        <v>0</v>
      </c>
      <c r="H662" s="200">
        <f>SUM(H574:H586)+SUM(J601:J603)+L612</f>
        <v>1264523.97</v>
      </c>
      <c r="I662" s="19">
        <f>SUM(F662:H662)</f>
        <v>1434822.05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2982215.89</v>
      </c>
      <c r="G663" s="19">
        <f>G659-SUM(G660:G662)</f>
        <v>0</v>
      </c>
      <c r="H663" s="19">
        <f>H659-SUM(H660:H662)</f>
        <v>0</v>
      </c>
      <c r="I663" s="19">
        <f>I659-SUM(I660:I662)</f>
        <v>2982215.8899999997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196.56</v>
      </c>
      <c r="G664" s="249"/>
      <c r="H664" s="249"/>
      <c r="I664" s="19">
        <f>SUM(F664:H664)</f>
        <v>196.56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15172.04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15172.04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15172.04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15172.04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D12" sqref="D12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Marlborough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1012502.52</v>
      </c>
      <c r="C9" s="230">
        <f>'DOE25'!G196+'DOE25'!G214+'DOE25'!G232+'DOE25'!G275+'DOE25'!G294+'DOE25'!G313</f>
        <v>426708.79</v>
      </c>
    </row>
    <row r="10" spans="1:3">
      <c r="A10" t="s">
        <v>779</v>
      </c>
      <c r="B10" s="241">
        <v>974281.22</v>
      </c>
      <c r="C10" s="241">
        <v>410600.86</v>
      </c>
    </row>
    <row r="11" spans="1:3">
      <c r="A11" t="s">
        <v>780</v>
      </c>
      <c r="B11" s="241">
        <v>38221.199999999997</v>
      </c>
      <c r="C11" s="241">
        <v>16107.93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Error</v>
      </c>
      <c r="B13" s="232">
        <f>SUM(B10:B12)</f>
        <v>1012502.4199999999</v>
      </c>
      <c r="C13" s="232">
        <f>SUM(C10:C12)</f>
        <v>426708.79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273301.27</v>
      </c>
      <c r="C18" s="230">
        <f>'DOE25'!G197+'DOE25'!G215+'DOE25'!G233+'DOE25'!G276+'DOE25'!G295+'DOE25'!G314</f>
        <v>75105.460000000006</v>
      </c>
    </row>
    <row r="19" spans="1:3">
      <c r="A19" t="s">
        <v>779</v>
      </c>
      <c r="B19" s="241">
        <v>118314.82</v>
      </c>
      <c r="C19" s="241">
        <v>32513.9</v>
      </c>
    </row>
    <row r="20" spans="1:3">
      <c r="A20" t="s">
        <v>780</v>
      </c>
      <c r="B20" s="241">
        <v>154986.45000000001</v>
      </c>
      <c r="C20" s="241">
        <v>42591.56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273301.27</v>
      </c>
      <c r="C22" s="232">
        <f>SUM(C19:C21)</f>
        <v>75105.459999999992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14532.5</v>
      </c>
      <c r="C36" s="236">
        <f>'DOE25'!G199+'DOE25'!G217+'DOE25'!G235+'DOE25'!G278+'DOE25'!G297+'DOE25'!G316</f>
        <v>1813.5900000000001</v>
      </c>
    </row>
    <row r="37" spans="1:3">
      <c r="A37" t="s">
        <v>779</v>
      </c>
      <c r="B37" s="241">
        <v>12180</v>
      </c>
      <c r="C37" s="241">
        <v>1520.01</v>
      </c>
    </row>
    <row r="38" spans="1:3">
      <c r="A38" t="s">
        <v>780</v>
      </c>
      <c r="B38" s="241">
        <v>2352.5</v>
      </c>
      <c r="C38" s="241">
        <v>293.58</v>
      </c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14532.5</v>
      </c>
      <c r="C40" s="232">
        <f>SUM(C37:C39)</f>
        <v>1813.59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E37" sqref="E3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Marlborough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3170034.3499999996</v>
      </c>
      <c r="D5" s="20">
        <f>SUM('DOE25'!L196:L199)+SUM('DOE25'!L214:L217)+SUM('DOE25'!L232:L235)-F5-G5</f>
        <v>3154785.7699999996</v>
      </c>
      <c r="E5" s="244"/>
      <c r="F5" s="256">
        <f>SUM('DOE25'!J196:J199)+SUM('DOE25'!J214:J217)+SUM('DOE25'!J232:J235)</f>
        <v>4646.58</v>
      </c>
      <c r="G5" s="53">
        <f>SUM('DOE25'!K196:K199)+SUM('DOE25'!K214:K217)+SUM('DOE25'!K232:K235)</f>
        <v>10602</v>
      </c>
      <c r="H5" s="260"/>
    </row>
    <row r="6" spans="1:9">
      <c r="A6" s="32">
        <v>2100</v>
      </c>
      <c r="B6" t="s">
        <v>801</v>
      </c>
      <c r="C6" s="246">
        <f t="shared" si="0"/>
        <v>227042.26</v>
      </c>
      <c r="D6" s="20">
        <f>'DOE25'!L201+'DOE25'!L219+'DOE25'!L237-F6-G6</f>
        <v>226616.80000000002</v>
      </c>
      <c r="E6" s="244"/>
      <c r="F6" s="256">
        <f>'DOE25'!J201+'DOE25'!J219+'DOE25'!J237</f>
        <v>270.45999999999998</v>
      </c>
      <c r="G6" s="53">
        <f>'DOE25'!K201+'DOE25'!K219+'DOE25'!K237</f>
        <v>155</v>
      </c>
      <c r="H6" s="260"/>
    </row>
    <row r="7" spans="1:9">
      <c r="A7" s="32">
        <v>2200</v>
      </c>
      <c r="B7" t="s">
        <v>834</v>
      </c>
      <c r="C7" s="246">
        <f t="shared" si="0"/>
        <v>87204.25</v>
      </c>
      <c r="D7" s="20">
        <f>'DOE25'!L202+'DOE25'!L220+'DOE25'!L238-F7-G7</f>
        <v>87204.25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143409.01</v>
      </c>
      <c r="D8" s="244"/>
      <c r="E8" s="20">
        <f>'DOE25'!L203+'DOE25'!L221+'DOE25'!L239-F8-G8-D9-D11</f>
        <v>140847.41</v>
      </c>
      <c r="F8" s="256">
        <f>'DOE25'!J203+'DOE25'!J221+'DOE25'!J239</f>
        <v>0</v>
      </c>
      <c r="G8" s="53">
        <f>'DOE25'!K203+'DOE25'!K221+'DOE25'!K239</f>
        <v>2561.6</v>
      </c>
      <c r="H8" s="260"/>
    </row>
    <row r="9" spans="1:9">
      <c r="A9" s="32">
        <v>2310</v>
      </c>
      <c r="B9" t="s">
        <v>818</v>
      </c>
      <c r="C9" s="246">
        <f t="shared" si="0"/>
        <v>13532.34</v>
      </c>
      <c r="D9" s="245">
        <f>10540.34+200+2592+200</f>
        <v>13532.34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7845</v>
      </c>
      <c r="D10" s="244"/>
      <c r="E10" s="245">
        <v>7845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54979</v>
      </c>
      <c r="D11" s="245">
        <v>54979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183510.06</v>
      </c>
      <c r="D12" s="20">
        <f>'DOE25'!L204+'DOE25'!L222+'DOE25'!L240-F12-G12</f>
        <v>182914.06</v>
      </c>
      <c r="E12" s="244"/>
      <c r="F12" s="256">
        <f>'DOE25'!J204+'DOE25'!J222+'DOE25'!J240</f>
        <v>0</v>
      </c>
      <c r="G12" s="53">
        <f>'DOE25'!K204+'DOE25'!K222+'DOE25'!K240</f>
        <v>596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248424.35</v>
      </c>
      <c r="D14" s="20">
        <f>'DOE25'!L206+'DOE25'!L224+'DOE25'!L242-F14-G14</f>
        <v>246885.44</v>
      </c>
      <c r="E14" s="244"/>
      <c r="F14" s="256">
        <f>'DOE25'!J206+'DOE25'!J224+'DOE25'!J242</f>
        <v>1538.91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139126.1</v>
      </c>
      <c r="D15" s="20">
        <f>'DOE25'!L207+'DOE25'!L225+'DOE25'!L243-F15-G15</f>
        <v>139126.1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21367.89</v>
      </c>
      <c r="D16" s="244"/>
      <c r="E16" s="20">
        <f>'DOE25'!L208+'DOE25'!L226+'DOE25'!L244-F16-G16</f>
        <v>10965.18</v>
      </c>
      <c r="F16" s="256">
        <f>'DOE25'!J208+'DOE25'!J226+'DOE25'!J244</f>
        <v>10402.709999999999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5250</v>
      </c>
      <c r="D19" s="20">
        <f>'DOE25'!L252-F19-G19</f>
        <v>0</v>
      </c>
      <c r="E19" s="244"/>
      <c r="F19" s="256">
        <f>'DOE25'!J252</f>
        <v>0</v>
      </c>
      <c r="G19" s="53">
        <f>'DOE25'!K252</f>
        <v>5250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820675</v>
      </c>
      <c r="D25" s="244"/>
      <c r="E25" s="244"/>
      <c r="F25" s="259"/>
      <c r="G25" s="257"/>
      <c r="H25" s="258">
        <f>'DOE25'!L259+'DOE25'!L260+'DOE25'!L340+'DOE25'!L341</f>
        <v>820675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65974.859999999986</v>
      </c>
      <c r="D29" s="20">
        <f>'DOE25'!L357+'DOE25'!L358+'DOE25'!L359-'DOE25'!I366-F29-G29</f>
        <v>65087.889999999985</v>
      </c>
      <c r="E29" s="244"/>
      <c r="F29" s="256">
        <f>'DOE25'!J357+'DOE25'!J358+'DOE25'!J359</f>
        <v>0</v>
      </c>
      <c r="G29" s="53">
        <f>'DOE25'!K357+'DOE25'!K358+'DOE25'!K359</f>
        <v>886.97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199873.76</v>
      </c>
      <c r="D31" s="20">
        <f>'DOE25'!L289+'DOE25'!L308+'DOE25'!L327+'DOE25'!L332+'DOE25'!L333+'DOE25'!L334-F31-G31</f>
        <v>129325.19</v>
      </c>
      <c r="E31" s="244"/>
      <c r="F31" s="256">
        <f>'DOE25'!J289+'DOE25'!J308+'DOE25'!J327+'DOE25'!J332+'DOE25'!J333+'DOE25'!J334</f>
        <v>65595.320000000007</v>
      </c>
      <c r="G31" s="53">
        <f>'DOE25'!K289+'DOE25'!K308+'DOE25'!K327+'DOE25'!K332+'DOE25'!K333+'DOE25'!K334</f>
        <v>4953.25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4300456.84</v>
      </c>
      <c r="E33" s="247">
        <f>SUM(E5:E31)</f>
        <v>159657.59</v>
      </c>
      <c r="F33" s="247">
        <f>SUM(F5:F31)</f>
        <v>82453.98000000001</v>
      </c>
      <c r="G33" s="247">
        <f>SUM(G5:G31)</f>
        <v>25004.82</v>
      </c>
      <c r="H33" s="247">
        <f>SUM(H5:H31)</f>
        <v>820675</v>
      </c>
    </row>
    <row r="35" spans="2:8" ht="12" thickBot="1">
      <c r="B35" s="254" t="s">
        <v>847</v>
      </c>
      <c r="D35" s="255">
        <f>E33</f>
        <v>159657.59</v>
      </c>
      <c r="E35" s="250"/>
    </row>
    <row r="36" spans="2:8" ht="12" thickTop="1">
      <c r="B36" t="s">
        <v>815</v>
      </c>
      <c r="D36" s="20">
        <f>D33</f>
        <v>4300456.84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Marlborough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430717.73</v>
      </c>
      <c r="D8" s="95">
        <f>'DOE25'!G9</f>
        <v>1455.15</v>
      </c>
      <c r="E8" s="95">
        <f>'DOE25'!H9</f>
        <v>0</v>
      </c>
      <c r="F8" s="95">
        <f>'DOE25'!I9</f>
        <v>95251.19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368.68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359111.92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109547.02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21745.62</v>
      </c>
      <c r="D12" s="95">
        <f>'DOE25'!G13</f>
        <v>0</v>
      </c>
      <c r="E12" s="95">
        <f>'DOE25'!H13</f>
        <v>110338.51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522.62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6000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562379.04999999993</v>
      </c>
      <c r="D18" s="41">
        <f>SUM(D8:D17)</f>
        <v>1977.77</v>
      </c>
      <c r="E18" s="41">
        <f>SUM(E8:E17)</f>
        <v>116338.51</v>
      </c>
      <c r="F18" s="41">
        <f>SUM(F8:F17)</f>
        <v>95251.19</v>
      </c>
      <c r="G18" s="41">
        <f>SUM(G8:G17)</f>
        <v>359111.92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109547.02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1495.19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12584.44</v>
      </c>
      <c r="D23" s="95">
        <f>'DOE25'!G24</f>
        <v>0</v>
      </c>
      <c r="E23" s="95">
        <f>'DOE25'!H24</f>
        <v>4269.8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7704.56</v>
      </c>
      <c r="D27" s="95">
        <f>'DOE25'!G28</f>
        <v>1009.65</v>
      </c>
      <c r="E27" s="95">
        <f>'DOE25'!H28</f>
        <v>1026.5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968.12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20289</v>
      </c>
      <c r="D31" s="41">
        <f>SUM(D21:D30)</f>
        <v>1977.77</v>
      </c>
      <c r="E31" s="41">
        <f>SUM(E21:E30)</f>
        <v>116338.51000000001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95251.19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2300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359111.92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339790.05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542090.05000000005</v>
      </c>
      <c r="D49" s="41">
        <f>SUM(D34:D48)</f>
        <v>0</v>
      </c>
      <c r="E49" s="41">
        <f>SUM(E34:E48)</f>
        <v>0</v>
      </c>
      <c r="F49" s="41">
        <f>SUM(F34:F48)</f>
        <v>95251.19</v>
      </c>
      <c r="G49" s="41">
        <f>SUM(G34:G48)</f>
        <v>359111.92</v>
      </c>
      <c r="H49" s="124"/>
      <c r="I49" s="124"/>
    </row>
    <row r="50" spans="1:9" ht="12" thickTop="1">
      <c r="A50" s="38" t="s">
        <v>895</v>
      </c>
      <c r="B50" s="2"/>
      <c r="C50" s="41">
        <f>C49+C31</f>
        <v>562379.05000000005</v>
      </c>
      <c r="D50" s="41">
        <f>D49+D31</f>
        <v>1977.77</v>
      </c>
      <c r="E50" s="41">
        <f>E49+E31</f>
        <v>116338.51000000001</v>
      </c>
      <c r="F50" s="41">
        <f>F49+F31</f>
        <v>95251.19</v>
      </c>
      <c r="G50" s="41">
        <f>G49+G31</f>
        <v>359111.92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2851725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15024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380.89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52.41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30684.959999999999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20971.670000000002</v>
      </c>
      <c r="D60" s="95">
        <f>SUM('DOE25'!G97:G109)</f>
        <v>0</v>
      </c>
      <c r="E60" s="95">
        <f>SUM('DOE25'!H97:H109)</f>
        <v>0</v>
      </c>
      <c r="F60" s="95">
        <f>SUM('DOE25'!I97:I109)</f>
        <v>69366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36376.559999999998</v>
      </c>
      <c r="D61" s="130">
        <f>SUM(D56:D60)</f>
        <v>30684.959999999999</v>
      </c>
      <c r="E61" s="130">
        <f>SUM(E56:E60)</f>
        <v>0</v>
      </c>
      <c r="F61" s="130">
        <f>SUM(F56:F60)</f>
        <v>69366</v>
      </c>
      <c r="G61" s="130">
        <f>SUM(G56:G60)</f>
        <v>52.41</v>
      </c>
      <c r="H61"/>
      <c r="I61"/>
    </row>
    <row r="62" spans="1:9" ht="12" thickTop="1">
      <c r="A62" s="29" t="s">
        <v>175</v>
      </c>
      <c r="B62" s="6"/>
      <c r="C62" s="22">
        <f>C55+C61</f>
        <v>2888101.56</v>
      </c>
      <c r="D62" s="22">
        <f>D55+D61</f>
        <v>30684.959999999999</v>
      </c>
      <c r="E62" s="22">
        <f>E55+E61</f>
        <v>0</v>
      </c>
      <c r="F62" s="22">
        <f>F55+F61</f>
        <v>69366</v>
      </c>
      <c r="G62" s="22">
        <f>G55+G61</f>
        <v>52.41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1181532.28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446611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1023.72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2464.8200000000002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1631631.82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331862.03999999998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221192.03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962.83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553054.06999999995</v>
      </c>
      <c r="D77" s="130">
        <f>SUM(D71:D76)</f>
        <v>962.83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2184685.89</v>
      </c>
      <c r="D80" s="130">
        <f>SUM(D78:D79)+D77+D69</f>
        <v>962.83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20940.809999999998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73812.179999999993</v>
      </c>
      <c r="D87" s="95">
        <f>SUM('DOE25'!G152:G160)</f>
        <v>45688.46</v>
      </c>
      <c r="E87" s="95">
        <f>SUM('DOE25'!H152:H160)</f>
        <v>178932.95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73812.179999999993</v>
      </c>
      <c r="D90" s="131">
        <f>SUM(D84:D89)</f>
        <v>45688.46</v>
      </c>
      <c r="E90" s="131">
        <f>SUM(E84:E89)</f>
        <v>199873.76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21009.38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201231.88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201231.88</v>
      </c>
      <c r="D102" s="86">
        <f>SUM(D92:D101)</f>
        <v>21009.38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5347831.51</v>
      </c>
      <c r="D103" s="86">
        <f>D62+D80+D90+D102</f>
        <v>98345.63</v>
      </c>
      <c r="E103" s="86">
        <f>E62+E80+E90+E102</f>
        <v>199873.76</v>
      </c>
      <c r="F103" s="86">
        <f>F62+F80+F90+F102</f>
        <v>69366</v>
      </c>
      <c r="G103" s="86">
        <f>G62+G80+G102</f>
        <v>52.41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2098375.6800000002</v>
      </c>
      <c r="D108" s="24" t="s">
        <v>289</v>
      </c>
      <c r="E108" s="95">
        <f>('DOE25'!L275)+('DOE25'!L294)+('DOE25'!L313)</f>
        <v>73773.16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1038566.7799999999</v>
      </c>
      <c r="D109" s="24" t="s">
        <v>289</v>
      </c>
      <c r="E109" s="95">
        <f>('DOE25'!L276)+('DOE25'!L295)+('DOE25'!L314)</f>
        <v>62167.8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33091.89</v>
      </c>
      <c r="D111" s="24" t="s">
        <v>289</v>
      </c>
      <c r="E111" s="95">
        <f>+('DOE25'!L278)+('DOE25'!L297)+('DOE25'!L316)</f>
        <v>3420.11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5250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3175284.35</v>
      </c>
      <c r="D114" s="86">
        <f>SUM(D108:D113)</f>
        <v>0</v>
      </c>
      <c r="E114" s="86">
        <f>SUM(E108:E113)</f>
        <v>139361.07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227042.26</v>
      </c>
      <c r="D117" s="24" t="s">
        <v>289</v>
      </c>
      <c r="E117" s="95">
        <f>+('DOE25'!L280)+('DOE25'!L299)+('DOE25'!L318)</f>
        <v>3710.07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87204.25</v>
      </c>
      <c r="D118" s="24" t="s">
        <v>289</v>
      </c>
      <c r="E118" s="95">
        <f>+('DOE25'!L281)+('DOE25'!L300)+('DOE25'!L319)</f>
        <v>48431.37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211920.35</v>
      </c>
      <c r="D119" s="24" t="s">
        <v>289</v>
      </c>
      <c r="E119" s="95">
        <f>+('DOE25'!L282)+('DOE25'!L301)+('DOE25'!L320)</f>
        <v>3418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183510.06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4953.25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248424.35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139126.1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21367.89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98345.62999999999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1118595.2599999998</v>
      </c>
      <c r="D127" s="86">
        <f>SUM(D117:D126)</f>
        <v>98345.62999999999</v>
      </c>
      <c r="E127" s="86">
        <f>SUM(E117:E126)</f>
        <v>60512.69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63167.59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710173.09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110501.91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200000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21009.38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34.44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17.97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-52.41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841684.37999999989</v>
      </c>
      <c r="D143" s="141">
        <f>SUM(D129:D142)</f>
        <v>0</v>
      </c>
      <c r="E143" s="141">
        <f>SUM(E129:E142)</f>
        <v>0</v>
      </c>
      <c r="F143" s="141">
        <f>SUM(F129:F142)</f>
        <v>263167.58999999997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5135563.9899999993</v>
      </c>
      <c r="D144" s="86">
        <f>(D114+D127+D143)</f>
        <v>98345.62999999999</v>
      </c>
      <c r="E144" s="86">
        <f>(E114+E127+E143)</f>
        <v>199873.76</v>
      </c>
      <c r="F144" s="86">
        <f>(F114+F127+F143)</f>
        <v>263167.58999999997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10960000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4.33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8958963.6099999994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8958963.6099999994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710173.09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710173.09</v>
      </c>
    </row>
    <row r="158" spans="1:9">
      <c r="A158" s="22" t="s">
        <v>35</v>
      </c>
      <c r="B158" s="137">
        <f>'DOE25'!F497</f>
        <v>8248790.5199999996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8248790.5199999996</v>
      </c>
    </row>
    <row r="159" spans="1:9">
      <c r="A159" s="22" t="s">
        <v>36</v>
      </c>
      <c r="B159" s="137">
        <f>'DOE25'!F498</f>
        <v>5663059.4800000004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5663059.4800000004</v>
      </c>
    </row>
    <row r="160" spans="1:9">
      <c r="A160" s="22" t="s">
        <v>37</v>
      </c>
      <c r="B160" s="137">
        <f>'DOE25'!F499</f>
        <v>13911850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13911850</v>
      </c>
    </row>
    <row r="161" spans="1:7">
      <c r="A161" s="22" t="s">
        <v>38</v>
      </c>
      <c r="B161" s="137">
        <f>'DOE25'!F500</f>
        <v>676295.29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676295.29</v>
      </c>
    </row>
    <row r="162" spans="1:7">
      <c r="A162" s="22" t="s">
        <v>39</v>
      </c>
      <c r="B162" s="137">
        <f>'DOE25'!F501</f>
        <v>141004.71000000002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141004.71000000002</v>
      </c>
    </row>
    <row r="163" spans="1:7">
      <c r="A163" s="22" t="s">
        <v>246</v>
      </c>
      <c r="B163" s="137">
        <f>'DOE25'!F502</f>
        <v>817300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817300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Marlborough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15172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15172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2172149</v>
      </c>
      <c r="D10" s="182">
        <f>ROUND((C10/$C$28)*100,1)</f>
        <v>46.5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1100735</v>
      </c>
      <c r="D11" s="182">
        <f>ROUND((C11/$C$28)*100,1)</f>
        <v>23.6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36512</v>
      </c>
      <c r="D13" s="182">
        <f>ROUND((C13/$C$28)*100,1)</f>
        <v>0.8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230752</v>
      </c>
      <c r="D15" s="182">
        <f t="shared" ref="D15:D27" si="0">ROUND((C15/$C$28)*100,1)</f>
        <v>4.9000000000000004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135636</v>
      </c>
      <c r="D16" s="182">
        <f t="shared" si="0"/>
        <v>2.9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236706</v>
      </c>
      <c r="D17" s="182">
        <f t="shared" si="0"/>
        <v>5.0999999999999996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183510</v>
      </c>
      <c r="D18" s="182">
        <f t="shared" si="0"/>
        <v>3.9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4953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248424</v>
      </c>
      <c r="D20" s="182">
        <f t="shared" si="0"/>
        <v>5.3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139126</v>
      </c>
      <c r="D21" s="182">
        <f t="shared" si="0"/>
        <v>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5250</v>
      </c>
      <c r="D24" s="182">
        <f t="shared" si="0"/>
        <v>0.1</v>
      </c>
    </row>
    <row r="25" spans="1:4">
      <c r="A25">
        <v>5120</v>
      </c>
      <c r="B25" t="s">
        <v>720</v>
      </c>
      <c r="C25" s="179">
        <f>ROUND('DOE25'!L260+'DOE25'!L341,0)</f>
        <v>110502</v>
      </c>
      <c r="D25" s="182">
        <f t="shared" si="0"/>
        <v>2.4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67661.040000000008</v>
      </c>
      <c r="D27" s="182">
        <f t="shared" si="0"/>
        <v>1.4</v>
      </c>
    </row>
    <row r="28" spans="1:4">
      <c r="B28" s="187" t="s">
        <v>723</v>
      </c>
      <c r="C28" s="180">
        <f>SUM(C10:C27)</f>
        <v>4671916.04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63168</v>
      </c>
    </row>
    <row r="30" spans="1:4">
      <c r="B30" s="187" t="s">
        <v>729</v>
      </c>
      <c r="C30" s="180">
        <f>SUM(C28:C29)</f>
        <v>4735084.04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710173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2851725</v>
      </c>
      <c r="D35" s="182">
        <f t="shared" ref="D35:D40" si="1">ROUND((C35/$C$41)*100,1)</f>
        <v>52.2</v>
      </c>
    </row>
    <row r="36" spans="1:4">
      <c r="B36" s="185" t="s">
        <v>743</v>
      </c>
      <c r="C36" s="179">
        <f>SUM('DOE25'!F111:J111)-SUM('DOE25'!G96:G109)+('DOE25'!F173+'DOE25'!F174+'DOE25'!I173+'DOE25'!I174)-C35</f>
        <v>105794.9700000002</v>
      </c>
      <c r="D36" s="182">
        <f t="shared" si="1"/>
        <v>1.9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1629167</v>
      </c>
      <c r="D37" s="182">
        <f t="shared" si="1"/>
        <v>29.8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556482</v>
      </c>
      <c r="D38" s="182">
        <f t="shared" si="1"/>
        <v>10.199999999999999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319374</v>
      </c>
      <c r="D39" s="182">
        <f t="shared" si="1"/>
        <v>5.8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5462542.9700000007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Marlborough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2012-09-10T12:12:37Z</cp:lastPrinted>
  <dcterms:created xsi:type="dcterms:W3CDTF">1997-12-04T19:04:30Z</dcterms:created>
  <dcterms:modified xsi:type="dcterms:W3CDTF">2012-11-21T14:56:54Z</dcterms:modified>
</cp:coreProperties>
</file>