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467" i="1" l="1"/>
  <c r="F578" i="1" l="1"/>
  <c r="D9" i="13" l="1"/>
  <c r="G610" i="1" l="1"/>
  <c r="H525" i="1"/>
  <c r="H520" i="1"/>
  <c r="J520" i="1"/>
  <c r="I520" i="1"/>
  <c r="G520" i="1"/>
  <c r="F520" i="1"/>
  <c r="J281" i="1"/>
  <c r="I281" i="1"/>
  <c r="H281" i="1"/>
  <c r="G281" i="1"/>
  <c r="F281" i="1"/>
  <c r="J276" i="1"/>
  <c r="I276" i="1"/>
  <c r="H276" i="1"/>
  <c r="J275" i="1"/>
  <c r="I275" i="1"/>
  <c r="G275" i="1"/>
  <c r="H243" i="1"/>
  <c r="I202" i="1"/>
  <c r="I201" i="1"/>
  <c r="H207" i="1"/>
  <c r="H203" i="1"/>
  <c r="H201" i="1"/>
  <c r="G203" i="1"/>
  <c r="F203" i="1"/>
  <c r="F109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C118" i="2" s="1"/>
  <c r="L220" i="1"/>
  <c r="L238" i="1"/>
  <c r="F12" i="13"/>
  <c r="G12" i="13"/>
  <c r="L204" i="1"/>
  <c r="C18" i="10" s="1"/>
  <c r="L222" i="1"/>
  <c r="L240" i="1"/>
  <c r="F14" i="13"/>
  <c r="G14" i="13"/>
  <c r="L206" i="1"/>
  <c r="D14" i="13" s="1"/>
  <c r="C14" i="13" s="1"/>
  <c r="L224" i="1"/>
  <c r="L242" i="1"/>
  <c r="F15" i="13"/>
  <c r="G15" i="13"/>
  <c r="L207" i="1"/>
  <c r="L225" i="1"/>
  <c r="G661" i="1" s="1"/>
  <c r="L243" i="1"/>
  <c r="F17" i="13"/>
  <c r="G17" i="13"/>
  <c r="L250" i="1"/>
  <c r="F18" i="13"/>
  <c r="G18" i="13"/>
  <c r="L251" i="1"/>
  <c r="F19" i="13"/>
  <c r="G19" i="13"/>
  <c r="L252" i="1"/>
  <c r="C113" i="2" s="1"/>
  <c r="F29" i="13"/>
  <c r="G29" i="13"/>
  <c r="L357" i="1"/>
  <c r="H660" i="1" s="1"/>
  <c r="L358" i="1"/>
  <c r="L359" i="1"/>
  <c r="I366" i="1"/>
  <c r="J289" i="1"/>
  <c r="J308" i="1"/>
  <c r="J327" i="1"/>
  <c r="K289" i="1"/>
  <c r="G31" i="13" s="1"/>
  <c r="G33" i="13" s="1"/>
  <c r="K308" i="1"/>
  <c r="K327" i="1"/>
  <c r="L275" i="1"/>
  <c r="L276" i="1"/>
  <c r="E109" i="2" s="1"/>
  <c r="L277" i="1"/>
  <c r="L278" i="1"/>
  <c r="L280" i="1"/>
  <c r="E117" i="2" s="1"/>
  <c r="L281" i="1"/>
  <c r="E118" i="2" s="1"/>
  <c r="L282" i="1"/>
  <c r="L283" i="1"/>
  <c r="L284" i="1"/>
  <c r="E121" i="2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G660" i="1"/>
  <c r="F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C31" i="2" s="1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C61" i="2" s="1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9" i="2"/>
  <c r="C110" i="2"/>
  <c r="E110" i="2"/>
  <c r="E111" i="2"/>
  <c r="C112" i="2"/>
  <c r="E112" i="2"/>
  <c r="E113" i="2"/>
  <c r="D114" i="2"/>
  <c r="F114" i="2"/>
  <c r="G114" i="2"/>
  <c r="E119" i="2"/>
  <c r="E120" i="2"/>
  <c r="C121" i="2"/>
  <c r="C122" i="2"/>
  <c r="E122" i="2"/>
  <c r="E123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55" i="1" s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G641" i="1" s="1"/>
  <c r="F451" i="1"/>
  <c r="G451" i="1"/>
  <c r="H451" i="1"/>
  <c r="I451" i="1"/>
  <c r="F459" i="1"/>
  <c r="G459" i="1"/>
  <c r="G460" i="1" s="1"/>
  <c r="H639" i="1" s="1"/>
  <c r="H459" i="1"/>
  <c r="F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6" i="1"/>
  <c r="G617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39" i="1"/>
  <c r="G640" i="1"/>
  <c r="H640" i="1"/>
  <c r="G642" i="1"/>
  <c r="H642" i="1"/>
  <c r="G643" i="1"/>
  <c r="G644" i="1"/>
  <c r="H644" i="1"/>
  <c r="G648" i="1"/>
  <c r="H649" i="1"/>
  <c r="G650" i="1"/>
  <c r="G651" i="1"/>
  <c r="J651" i="1" s="1"/>
  <c r="H651" i="1"/>
  <c r="G652" i="1"/>
  <c r="H652" i="1"/>
  <c r="J652" i="1" s="1"/>
  <c r="G653" i="1"/>
  <c r="H653" i="1"/>
  <c r="J653" i="1" s="1"/>
  <c r="H654" i="1"/>
  <c r="F191" i="1"/>
  <c r="K256" i="1"/>
  <c r="K270" i="1" s="1"/>
  <c r="G163" i="2"/>
  <c r="G159" i="2"/>
  <c r="F31" i="2"/>
  <c r="C26" i="10"/>
  <c r="L327" i="1"/>
  <c r="L350" i="1"/>
  <c r="A31" i="12"/>
  <c r="A40" i="12"/>
  <c r="G8" i="2"/>
  <c r="G161" i="2"/>
  <c r="D61" i="2"/>
  <c r="D62" i="2" s="1"/>
  <c r="E49" i="2"/>
  <c r="D18" i="13"/>
  <c r="C18" i="13" s="1"/>
  <c r="F102" i="2"/>
  <c r="D18" i="2"/>
  <c r="E18" i="2"/>
  <c r="D17" i="13"/>
  <c r="C17" i="13" s="1"/>
  <c r="G158" i="2"/>
  <c r="C90" i="2"/>
  <c r="G8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G61" i="2"/>
  <c r="D19" i="13"/>
  <c r="C19" i="13" s="1"/>
  <c r="E13" i="13"/>
  <c r="C13" i="13" s="1"/>
  <c r="I459" i="1" l="1"/>
  <c r="I460" i="1" s="1"/>
  <c r="H641" i="1" s="1"/>
  <c r="J641" i="1"/>
  <c r="L613" i="1"/>
  <c r="I662" i="1"/>
  <c r="D29" i="13"/>
  <c r="C29" i="13" s="1"/>
  <c r="F660" i="1"/>
  <c r="L361" i="1"/>
  <c r="F31" i="13"/>
  <c r="L289" i="1"/>
  <c r="E108" i="2"/>
  <c r="E114" i="2" s="1"/>
  <c r="C11" i="10"/>
  <c r="C123" i="2"/>
  <c r="G649" i="1"/>
  <c r="J649" i="1" s="1"/>
  <c r="L228" i="1"/>
  <c r="C21" i="10"/>
  <c r="L246" i="1"/>
  <c r="H659" i="1" s="1"/>
  <c r="H663" i="1" s="1"/>
  <c r="I661" i="1"/>
  <c r="C108" i="2"/>
  <c r="D15" i="13"/>
  <c r="C15" i="13" s="1"/>
  <c r="H646" i="1"/>
  <c r="J648" i="1"/>
  <c r="C17" i="10"/>
  <c r="D7" i="13"/>
  <c r="C7" i="13" s="1"/>
  <c r="C15" i="10"/>
  <c r="C10" i="10"/>
  <c r="C16" i="10"/>
  <c r="C120" i="2"/>
  <c r="D12" i="13"/>
  <c r="C12" i="13" s="1"/>
  <c r="L210" i="1"/>
  <c r="E8" i="13"/>
  <c r="C8" i="13" s="1"/>
  <c r="D6" i="13"/>
  <c r="C6" i="13" s="1"/>
  <c r="C111" i="2"/>
  <c r="A22" i="12"/>
  <c r="E90" i="2"/>
  <c r="E103" i="2" s="1"/>
  <c r="C69" i="2"/>
  <c r="C80" i="2" s="1"/>
  <c r="C103" i="2" s="1"/>
  <c r="F139" i="1"/>
  <c r="C62" i="2"/>
  <c r="E31" i="2"/>
  <c r="E50" i="2" s="1"/>
  <c r="J618" i="1"/>
  <c r="F51" i="1"/>
  <c r="H616" i="1" s="1"/>
  <c r="J616" i="1" s="1"/>
  <c r="C18" i="2"/>
  <c r="E77" i="2"/>
  <c r="E80" i="2" s="1"/>
  <c r="F103" i="2"/>
  <c r="L426" i="1"/>
  <c r="L433" i="1" s="1"/>
  <c r="G637" i="1" s="1"/>
  <c r="J637" i="1" s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H192" i="1" s="1"/>
  <c r="G628" i="1" s="1"/>
  <c r="J628" i="1" s="1"/>
  <c r="J270" i="1"/>
  <c r="H647" i="1"/>
  <c r="G551" i="1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L544" i="1"/>
  <c r="H544" i="1"/>
  <c r="K550" i="1"/>
  <c r="F143" i="2"/>
  <c r="F144" i="2" s="1"/>
  <c r="J647" i="1" l="1"/>
  <c r="K551" i="1"/>
  <c r="C27" i="10"/>
  <c r="C28" i="10" s="1"/>
  <c r="C30" i="10" s="1"/>
  <c r="G634" i="1"/>
  <c r="J634" i="1" s="1"/>
  <c r="E144" i="2"/>
  <c r="C127" i="2"/>
  <c r="H671" i="1"/>
  <c r="H666" i="1"/>
  <c r="J646" i="1"/>
  <c r="L256" i="1"/>
  <c r="L270" i="1" s="1"/>
  <c r="G631" i="1" s="1"/>
  <c r="J631" i="1" s="1"/>
  <c r="C114" i="2"/>
  <c r="F659" i="1"/>
  <c r="F663" i="1" s="1"/>
  <c r="F671" i="1" s="1"/>
  <c r="C4" i="10" s="1"/>
  <c r="C39" i="10"/>
  <c r="C38" i="10"/>
  <c r="C36" i="10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C144" i="2" l="1"/>
  <c r="D23" i="10"/>
  <c r="D19" i="10"/>
  <c r="D20" i="10"/>
  <c r="D25" i="10"/>
  <c r="D18" i="10"/>
  <c r="D12" i="10"/>
  <c r="D11" i="10"/>
  <c r="D10" i="10"/>
  <c r="D13" i="10"/>
  <c r="D26" i="10"/>
  <c r="D22" i="10"/>
  <c r="D17" i="10"/>
  <c r="D21" i="10"/>
  <c r="D16" i="10"/>
  <c r="D24" i="10"/>
  <c r="D15" i="10"/>
  <c r="D27" i="10"/>
  <c r="F666" i="1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/>
  <c r="D28" i="10" l="1"/>
  <c r="D36" i="10"/>
  <c r="D40" i="10"/>
  <c r="D37" i="10"/>
  <c r="D38" i="10"/>
  <c r="D35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<sst xmlns="http://schemas.openxmlformats.org/spreadsheetml/2006/main" count="3943" uniqueCount="910">
  <si>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</si>
  <si>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</si>
  <si>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</si>
  <si>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</si>
  <si>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</si>
  <si>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</si>
  <si>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</si>
  <si>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</si>
  <si>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</si>
  <si>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</si>
  <si>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</si>
  <si>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</si>
  <si>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</si>
  <si>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</si>
  <si>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</si>
  <si>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</si>
  <si>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</si>
  <si>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</si>
  <si>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</si>
  <si>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</si>
  <si>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</si>
  <si>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</si>
  <si>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</si>
  <si>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</si>
  <si>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</si>
  <si>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</si>
  <si>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</si>
  <si>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</si>
  <si>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</si>
  <si>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</si>
  <si>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</si>
  <si>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</si>
  <si>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</si>
  <si>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</si>
  <si>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</si>
  <si>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</si>
  <si>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</si>
  <si>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</si>
  <si>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</si>
  <si>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</si>
  <si>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</si>
  <si>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</si>
  <si>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</si>
  <si>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</si>
  <si>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</si>
  <si>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</si>
  <si>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</si>
  <si>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</si>
  <si>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</si>
  <si>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</si>
  <si>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</si>
  <si>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</si>
  <si>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</si>
  <si>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</si>
  <si>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</si>
  <si>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</si>
  <si>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</si>
  <si>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</si>
  <si>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</si>
  <si>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</si>
  <si>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</si>
  <si>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</si>
  <si>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</si>
  <si>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</si>
  <si>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</si>
  <si>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</si>
  <si>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</si>
  <si>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</si>
  <si>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</si>
  <si>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</si>
  <si>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</si>
  <si>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</si>
  <si>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</si>
  <si>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</si>
  <si>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</si>
  <si>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</si>
  <si>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</si>
  <si>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</si>
  <si>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</si>
  <si>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</si>
  <si>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</si>
  <si>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</si>
  <si>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</si>
  <si>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</si>
  <si>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</si>
  <si>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</si>
  <si>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</si>
  <si>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</si>
  <si>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</si>
  <si>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</si>
  <si>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</si>
  <si>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</si>
  <si>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</si>
  <si>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</si>
  <si>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</si>
  <si>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</si>
  <si>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</si>
  <si>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</si>
  <si>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</si>
  <si>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</si>
  <si>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</si>
  <si>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</si>
  <si>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</si>
  <si>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</si>
  <si>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</si>
  <si>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</si>
  <si>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</si>
  <si>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</si>
  <si>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</si>
  <si>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</si>
  <si>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</si>
  <si>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</si>
  <si>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</si>
  <si>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</si>
  <si>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</si>
  <si>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</si>
  <si>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</si>
  <si>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</si>
  <si>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</si>
  <si>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</si>
  <si>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</si>
  <si>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</si>
  <si>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</si>
  <si>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</si>
  <si>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</si>
  <si>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</si>
  <si>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</si>
  <si>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</si>
  <si>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</si>
  <si>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</si>
  <si>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</si>
  <si>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</si>
  <si>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</si>
  <si>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</si>
  <si>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</si>
  <si>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</si>
  <si>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</si>
  <si>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</si>
  <si>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</si>
  <si>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</si>
  <si>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</si>
  <si>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</si>
  <si>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</si>
  <si>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</si>
  <si>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</si>
  <si>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</si>
  <si>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</si>
  <si>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</si>
  <si>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</si>
  <si>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</si>
  <si>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</si>
  <si>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</si>
  <si>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</si>
  <si>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</si>
  <si>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</si>
  <si>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</si>
  <si>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</si>
  <si>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</si>
  <si>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</si>
  <si>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</si>
  <si>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</si>
  <si>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</si>
  <si>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</si>
  <si>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</si>
  <si>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</si>
  <si>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</si>
  <si>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</si>
  <si>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</si>
  <si>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</si>
  <si>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</si>
  <si>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</si>
  <si>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</si>
  <si>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</si>
  <si>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</si>
  <si>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</si>
  <si>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</si>
  <si>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</si>
  <si>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</si>
  <si>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</si>
  <si>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</si>
  <si>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</si>
  <si>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</si>
  <si>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</si>
  <si>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</si>
  <si>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</si>
  <si>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</si>
  <si>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</si>
  <si>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</si>
  <si>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</si>
  <si>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</si>
  <si>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</si>
  <si>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</si>
  <si>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</si>
  <si>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</si>
  <si>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</si>
  <si>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</si>
  <si>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</si>
  <si>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</si>
  <si>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</si>
  <si>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</si>
  <si>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</si>
  <si>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</si>
  <si>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</si>
  <si>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</si>
  <si>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</si>
  <si>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</si>
  <si>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</si>
  <si>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</si>
  <si>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</si>
  <si>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</si>
  <si>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</si>
  <si>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</si>
  <si>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</si>
  <si>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</si>
  <si>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</si>
  <si>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</si>
  <si>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</si>
  <si>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</si>
  <si>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</si>
  <si>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</si>
  <si>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</si>
  <si>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</si>
  <si>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</si>
  <si>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</si>
  <si>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</si>
  <si>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</si>
  <si>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</si>
  <si>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</si>
  <si>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</si>
  <si>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</si>
  <si>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</si>
  <si>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</si>
  <si>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</si>
  <si>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</si>
  <si>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</si>
  <si>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</si>
  <si>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</si>
  <si>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</si>
  <si>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</si>
  <si>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</si>
  <si>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</si>
  <si>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</si>
  <si>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</si>
  <si>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</si>
  <si>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</si>
  <si>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</si>
  <si>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</si>
  <si>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</si>
  <si>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</si>
  <si>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</si>
  <si>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</si>
  <si>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</si>
  <si>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</si>
  <si>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</si>
  <si>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</si>
  <si>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</si>
  <si>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</si>
  <si>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</si>
  <si>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</si>
  <si>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</si>
  <si>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</si>
  <si>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</si>
  <si>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</si>
  <si>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</si>
  <si>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</si>
  <si>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</si>
  <si>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</si>
  <si>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</si>
  <si>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</si>
  <si>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</si>
  <si>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</si>
  <si>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</si>
  <si>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</si>
  <si>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</si>
  <si>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</si>
  <si>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</si>
  <si>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</si>
  <si>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</si>
  <si>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</si>
  <si>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</si>
  <si>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</si>
  <si>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</si>
  <si>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</si>
  <si>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</si>
  <si>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</si>
  <si>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</si>
  <si>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</si>
  <si>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</si>
  <si>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</si>
  <si>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</si>
  <si>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</si>
  <si>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</si>
  <si>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</si>
  <si>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</si>
  <si>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</si>
  <si>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</si>
  <si>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</si>
  <si>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</si>
  <si>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</si>
  <si>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</si>
  <si>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</si>
  <si>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</si>
  <si>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</si>
  <si>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</si>
  <si>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</si>
  <si>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</si>
  <si>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</si>
  <si>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</si>
  <si>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</si>
  <si>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</si>
  <si>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</si>
  <si>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</si>
  <si>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</si>
  <si>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</si>
  <si>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</si>
  <si>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</si>
  <si>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</si>
  <si>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</si>
  <si>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</si>
  <si>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</si>
  <si>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</si>
  <si>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</si>
  <si>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</si>
  <si>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</si>
  <si>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</si>
  <si>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</si>
  <si>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</si>
  <si>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</si>
  <si>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</si>
  <si>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</si>
  <si>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</si>
  <si>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</si>
  <si>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</si>
  <si>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</si>
  <si>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</si>
  <si>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</si>
  <si>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</si>
  <si>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</si>
  <si>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</si>
  <si>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</si>
  <si>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</si>
  <si>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</si>
  <si>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</si>
  <si>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</si>
  <si>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</si>
  <si>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</si>
  <si>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</si>
  <si>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</si>
  <si>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</si>
  <si>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</si>
  <si>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</si>
  <si>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</si>
  <si>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</si>
  <si>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</si>
  <si>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</si>
  <si>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</si>
  <si>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</si>
  <si>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</si>
  <si>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</si>
  <si>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</si>
  <si>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</si>
  <si>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</si>
  <si>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</si>
  <si>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</si>
  <si>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</si>
  <si>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</si>
  <si>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</si>
  <si>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</si>
  <si>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</si>
  <si>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</si>
  <si>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</si>
  <si>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</si>
  <si>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</si>
  <si>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</si>
  <si>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</si>
  <si>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</si>
  <si>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</si>
  <si>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</si>
  <si>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</si>
  <si>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</si>
  <si>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</si>
  <si>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</si>
  <si>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</si>
  <si>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</si>
  <si>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</si>
  <si>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</si>
  <si>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</si>
  <si>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</si>
  <si>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</si>
  <si>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</si>
  <si>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</si>
  <si>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</si>
  <si>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</si>
  <si>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</si>
  <si>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</si>
  <si>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</si>
  <si>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</si>
  <si>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</si>
  <si>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</si>
  <si>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</si>
  <si>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</si>
  <si>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</si>
  <si>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</si>
  <si>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</si>
  <si>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</si>
  <si>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</si>
  <si>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</si>
  <si>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</si>
  <si>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</si>
  <si>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</si>
  <si>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</si>
  <si>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</si>
  <si>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</si>
  <si>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</si>
  <si>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</si>
  <si>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</si>
  <si>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</si>
  <si>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</si>
  <si>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</si>
  <si>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</si>
  <si>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</si>
  <si>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</si>
  <si>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</si>
  <si>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</si>
  <si>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</si>
  <si>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</si>
  <si>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</si>
  <si>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</si>
  <si>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</si>
  <si>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</si>
  <si>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</si>
  <si>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</si>
  <si>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</si>
  <si>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</si>
  <si>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</si>
  <si>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</si>
  <si>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</si>
  <si>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</si>
  <si>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</si>
  <si>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</si>
  <si>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</si>
  <si>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</si>
  <si>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</si>
  <si>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</si>
  <si>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</si>
  <si>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</si>
  <si>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</si>
  <si>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</si>
  <si>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</si>
  <si>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</si>
  <si>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</si>
  <si>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</si>
  <si>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</si>
  <si>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</si>
  <si>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</si>
  <si>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</si>
  <si>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</si>
  <si>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</si>
  <si>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</si>
  <si>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</si>
  <si>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</si>
  <si>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</si>
  <si>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</si>
  <si>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</si>
  <si>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</si>
  <si>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</si>
  <si>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</si>
  <si>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</si>
  <si>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</si>
  <si>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</si>
  <si>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</si>
  <si>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</si>
  <si>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</si>
  <si>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</si>
  <si>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</si>
  <si>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</si>
  <si>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</si>
  <si>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</si>
  <si>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</si>
  <si>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</si>
  <si>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</si>
  <si>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</si>
  <si>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</si>
  <si>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</si>
  <si>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</si>
  <si>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</si>
  <si>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</si>
  <si>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</si>
  <si>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</si>
  <si>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</si>
  <si>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</si>
  <si>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</si>
  <si>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</si>
  <si>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</si>
  <si>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</si>
  <si>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</si>
  <si>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</si>
  <si>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</si>
  <si>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</si>
  <si>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</si>
  <si>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</si>
  <si>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</si>
  <si>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</si>
  <si>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</si>
  <si>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</si>
  <si>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</si>
  <si>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</si>
  <si>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</si>
  <si>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</si>
  <si>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</si>
  <si>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</si>
  <si>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</si>
  <si>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</si>
  <si>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</si>
  <si>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</si>
  <si>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</si>
  <si>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</si>
  <si>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</si>
  <si>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</si>
  <si>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</si>
  <si>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</si>
  <si>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</si>
  <si>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</si>
  <si>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</si>
  <si>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</si>
  <si>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</si>
  <si>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</si>
  <si>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</si>
  <si>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</si>
  <si>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</si>
  <si>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</si>
  <si>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</si>
  <si>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</si>
  <si>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</si>
  <si>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</si>
  <si>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</si>
  <si>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</si>
  <si>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</si>
  <si>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</si>
  <si>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</si>
  <si>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</si>
  <si>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</si>
  <si>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</si>
  <si>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</si>
  <si>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</si>
  <si>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</si>
  <si>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</si>
  <si>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</si>
  <si>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</si>
  <si>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</si>
  <si>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</si>
  <si>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</si>
  <si>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</si>
  <si>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</si>
  <si>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</si>
  <si>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</si>
  <si>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</si>
  <si>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</si>
  <si>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</si>
  <si>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</si>
  <si>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</si>
  <si>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</si>
  <si>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</si>
  <si>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</si>
  <si>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</si>
  <si>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</si>
  <si>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</si>
  <si>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</si>
  <si>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</si>
  <si>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</si>
  <si>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</si>
  <si>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</si>
  <si>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</si>
  <si>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</si>
  <si>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</si>
  <si>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</si>
  <si>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</si>
  <si>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</si>
  <si>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</si>
  <si>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</si>
  <si>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</si>
  <si>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</si>
  <si>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</si>
  <si>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</si>
  <si>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</si>
  <si>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</si>
  <si>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</si>
  <si>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</si>
  <si>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</si>
  <si>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</si>
  <si>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</si>
  <si>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</si>
  <si>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</si>
  <si>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</si>
  <si>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</si>
  <si>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</si>
  <si>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</si>
  <si>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</si>
  <si>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</si>
  <si>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</si>
  <si>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</si>
  <si>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</si>
  <si>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</si>
  <si>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</si>
  <si>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</si>
  <si>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</si>
  <si>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</si>
  <si>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</si>
  <si>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</si>
  <si>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</si>
  <si>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</si>
  <si>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</si>
  <si>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</si>
  <si>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</si>
  <si>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</si>
  <si>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</si>
  <si>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</si>
  <si>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</si>
  <si>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</si>
  <si>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</si>
  <si>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</si>
  <si>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</si>
  <si>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</si>
  <si>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</si>
  <si>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</si>
  <si>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</si>
  <si>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</si>
  <si>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</si>
  <si>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</si>
  <si>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</si>
  <si>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</si>
  <si>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</si>
  <si>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</si>
  <si>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</si>
  <si>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</si>
  <si>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</si>
  <si>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</si>
  <si>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</si>
  <si>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</si>
  <si>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</si>
  <si>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</si>
  <si>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</si>
  <si>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</si>
  <si>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</si>
  <si>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</si>
  <si>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</si>
  <si>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</si>
  <si>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</si>
  <si>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</si>
  <si>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</si>
  <si>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</si>
  <si>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</si>
  <si>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</si>
  <si>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</si>
  <si>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</si>
  <si>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</si>
  <si>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</si>
  <si>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</si>
  <si>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</si>
  <si>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</si>
  <si>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</si>
  <si>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</si>
  <si>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</si>
  <si>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</si>
  <si>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</si>
  <si>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</si>
  <si>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</si>
  <si>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</si>
  <si>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</si>
  <si>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</si>
  <si>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</si>
  <si>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</si>
  <si>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</si>
  <si>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</si>
  <si>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</si>
  <si>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</si>
  <si>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</si>
  <si>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</si>
  <si>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</si>
  <si>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</si>
  <si>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</si>
  <si>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</si>
  <si>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</si>
  <si>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</si>
  <si>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</si>
  <si>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</si>
  <si>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</si>
  <si>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</si>
  <si>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</si>
  <si>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</si>
  <si>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</si>
  <si>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</si>
  <si>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</si>
  <si>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</si>
  <si>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</si>
  <si>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</si>
  <si>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</si>
  <si>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</si>
  <si>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</si>
  <si>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</si>
  <si>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</si>
  <si>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</si>
  <si>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</si>
  <si>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</si>
  <si>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</si>
  <si>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</si>
  <si>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</si>
  <si>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</si>
  <si>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</si>
  <si>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</si>
  <si>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</si>
  <si>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</si>
  <si>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</si>
  <si>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</si>
  <si>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</si>
  <si>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</si>
  <si>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</si>
  <si>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</si>
  <si>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</si>
  <si>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</si>
  <si>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</si>
  <si>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</si>
  <si>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</si>
  <si>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</si>
  <si>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</si>
  <si>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</si>
  <si>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</si>
  <si>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</si>
  <si>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</si>
  <si>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</si>
  <si>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</si>
  <si>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</si>
  <si>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</si>
  <si>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</si>
  <si>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</si>
  <si>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</si>
  <si>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</si>
  <si>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</si>
  <si>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</si>
  <si>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</si>
  <si>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</si>
  <si>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</si>
  <si>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</si>
  <si>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</si>
  <si>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</si>
  <si>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</si>
  <si>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</si>
  <si>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</si>
  <si>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</si>
  <si>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</si>
  <si>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</si>
  <si>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</si>
  <si>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</si>
  <si>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</si>
  <si>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</si>
  <si>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</si>
  <si>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</si>
  <si>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</si>
  <si>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</si>
  <si>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</si>
  <si>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</si>
  <si>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</si>
  <si>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</si>
  <si>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</si>
  <si>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</si>
  <si>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</si>
  <si>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</si>
  <si>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</si>
  <si>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</si>
  <si>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</si>
  <si>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</si>
  <si>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</si>
  <si>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</si>
  <si>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</si>
  <si>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</si>
  <si>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</si>
  <si>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</si>
  <si>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</si>
  <si>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</si>
  <si>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</si>
  <si>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</si>
  <si>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</si>
  <si>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</si>
  <si>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</si>
  <si>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</si>
  <si>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</si>
  <si>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</si>
  <si>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</si>
  <si>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</si>
  <si>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</si>
  <si>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</si>
  <si>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</si>
  <si>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</si>
  <si>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</si>
  <si>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</si>
  <si>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</si>
  <si>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</si>
  <si>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</si>
  <si>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</si>
  <si>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</si>
  <si>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</si>
  <si>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</si>
  <si>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</si>
  <si>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</si>
  <si>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</si>
  <si>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</si>
  <si>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</si>
  <si>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</si>
  <si>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</si>
  <si>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</si>
  <si>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</si>
  <si>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</si>
  <si>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</si>
  <si>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</si>
  <si>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</si>
  <si>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</si>
  <si>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</si>
  <si>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</si>
  <si>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</si>
  <si>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</si>
  <si>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</si>
  <si>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</si>
  <si>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</si>
  <si>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</si>
  <si>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</si>
  <si>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</si>
  <si>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</si>
  <si>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</si>
  <si>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</si>
  <si>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</si>
  <si>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</si>
  <si>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</si>
  <si>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</si>
  <si>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</si>
  <si>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</si>
  <si>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</si>
  <si>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</si>
  <si>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</si>
  <si>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</si>
  <si>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</si>
  <si>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</si>
  <si>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</si>
  <si>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</si>
  <si>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</si>
  <si>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</si>
  <si>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</si>
  <si>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</si>
  <si>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</si>
  <si>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</si>
  <si>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</si>
  <si>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</si>
  <si>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</si>
  <si>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</si>
  <si>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</si>
  <si>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</si>
  <si>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</si>
  <si>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</si>
  <si>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</si>
  <si>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</si>
  <si>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</si>
  <si>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</si>
  <si>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</si>
  <si>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</si>
  <si>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</si>
  <si>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</si>
  <si>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</si>
  <si>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</si>
  <si>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</si>
  <si>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</si>
  <si>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</si>
  <si>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</si>
  <si>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</si>
  <si>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</si>
  <si>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</si>
  <si>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</si>
  <si>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</si>
  <si>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</si>
  <si>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</si>
  <si>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</si>
  <si>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</si>
  <si>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</si>
  <si>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</si>
  <si>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</si>
  <si>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</si>
  <si>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</si>
  <si>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</si>
  <si>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</si>
  <si>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</si>
  <si>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</si>
  <si>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</si>
  <si>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</si>
  <si>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</si>
  <si>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</si>
  <si>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</si>
  <si>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</si>
  <si>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</si>
  <si>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</si>
  <si>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</si>
  <si>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</si>
  <si>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</si>
  <si>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</si>
  <si>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</si>
  <si>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</si>
  <si>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</si>
  <si>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</si>
  <si>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</si>
  <si>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</si>
  <si>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</si>
  <si>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</si>
  <si>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MARLOW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</si>
</sst>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543" sqref="H543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341</v>
      </c>
      <c r="C2" s="21">
        <v>341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-6998.02-11951.19</f>
        <v>-18949.21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276294.58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28116.28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7809.43</v>
      </c>
      <c r="G13" s="18"/>
      <c r="H13" s="18">
        <v>29748.53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16976.5</v>
      </c>
      <c r="G19" s="41">
        <f>SUM(G9:G18)</f>
        <v>0</v>
      </c>
      <c r="H19" s="41">
        <f>SUM(H9:H18)</f>
        <v>29748.53</v>
      </c>
      <c r="I19" s="41">
        <f>SUM(I9:I18)</f>
        <v>0</v>
      </c>
      <c r="J19" s="41">
        <f>SUM(J9:J18)</f>
        <v>276294.58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28116.28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4703</v>
      </c>
      <c r="G24" s="18"/>
      <c r="H24" s="18">
        <v>1507.95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2763.47</v>
      </c>
      <c r="G28" s="18"/>
      <c r="H28" s="18">
        <v>124.3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7466.4699999999993</v>
      </c>
      <c r="G32" s="41">
        <f>SUM(G22:G31)</f>
        <v>0</v>
      </c>
      <c r="H32" s="41">
        <f>SUM(H22:H31)</f>
        <v>29748.53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9510.0300000000007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276294.58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9510.0300000000007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276294.58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16976.5</v>
      </c>
      <c r="G51" s="41">
        <f>G50+G32</f>
        <v>0</v>
      </c>
      <c r="H51" s="41">
        <f>H50+H32</f>
        <v>29748.53</v>
      </c>
      <c r="I51" s="41">
        <f>I50+I32</f>
        <v>0</v>
      </c>
      <c r="J51" s="41">
        <f>J50+J32</f>
        <v>276294.58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829994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829994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472.63</v>
      </c>
      <c r="G95" s="18"/>
      <c r="H95" s="18"/>
      <c r="I95" s="18"/>
      <c r="J95" s="18">
        <v>133.37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1391.6+2474.93</f>
        <v>3866.5299999999997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4339.16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133.37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834333.16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133.37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580207.29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157226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502.71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340.45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738276.45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14324.97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14324.97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752601.41999999993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10162.52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2839.01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13921.34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31360.66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25823.7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16164.69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41988.39</v>
      </c>
      <c r="G161" s="41">
        <f>SUM(G149:G160)</f>
        <v>0</v>
      </c>
      <c r="H161" s="41">
        <f>SUM(H149:H160)</f>
        <v>58283.53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41988.39</v>
      </c>
      <c r="G168" s="41">
        <f>G146+G161+SUM(G162:G167)</f>
        <v>0</v>
      </c>
      <c r="H168" s="41">
        <f>H146+H161+SUM(H162:H167)</f>
        <v>58283.53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1516.12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1516.12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1516.12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1628922.97</v>
      </c>
      <c r="G192" s="47">
        <f>G111+G139+G168+G191</f>
        <v>1516.12</v>
      </c>
      <c r="H192" s="47">
        <f>H111+H139+H168+H191</f>
        <v>58283.53</v>
      </c>
      <c r="I192" s="47">
        <f>I111+I139+I168+I191</f>
        <v>0</v>
      </c>
      <c r="J192" s="47">
        <f>J111+J139+J191</f>
        <v>133.37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146432.22</v>
      </c>
      <c r="G196" s="18">
        <v>78100.44</v>
      </c>
      <c r="H196" s="18">
        <v>11354.55</v>
      </c>
      <c r="I196" s="18">
        <v>6926.58</v>
      </c>
      <c r="J196" s="18"/>
      <c r="K196" s="18"/>
      <c r="L196" s="19">
        <f>SUM(F196:K196)</f>
        <v>242813.78999999998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60137.18</v>
      </c>
      <c r="G197" s="18">
        <v>30369.81</v>
      </c>
      <c r="H197" s="18">
        <v>126482.83</v>
      </c>
      <c r="I197" s="18">
        <v>644.94000000000005</v>
      </c>
      <c r="J197" s="18"/>
      <c r="K197" s="18"/>
      <c r="L197" s="19">
        <f>SUM(F197:K197)</f>
        <v>217634.76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1320</v>
      </c>
      <c r="G199" s="18">
        <v>273.83999999999997</v>
      </c>
      <c r="H199" s="18"/>
      <c r="I199" s="18"/>
      <c r="J199" s="18"/>
      <c r="K199" s="18"/>
      <c r="L199" s="19">
        <f>SUM(F199:K199)</f>
        <v>1593.84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6504.24</v>
      </c>
      <c r="G201" s="18">
        <v>520.33000000000004</v>
      </c>
      <c r="H201" s="18">
        <f>50+11350.9+1960+25623.95+22246</f>
        <v>61230.85</v>
      </c>
      <c r="I201" s="18">
        <f>103.76+218</f>
        <v>321.76</v>
      </c>
      <c r="J201" s="18"/>
      <c r="K201" s="18"/>
      <c r="L201" s="19">
        <f t="shared" ref="L201:L207" si="0">SUM(F201:K201)</f>
        <v>68577.179999999993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7899.32</v>
      </c>
      <c r="G202" s="18">
        <v>632.05999999999995</v>
      </c>
      <c r="H202" s="18">
        <v>1149.6300000000001</v>
      </c>
      <c r="I202" s="18">
        <f>49+884.54</f>
        <v>933.54</v>
      </c>
      <c r="J202" s="18"/>
      <c r="K202" s="18"/>
      <c r="L202" s="19">
        <f t="shared" si="0"/>
        <v>10614.55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2536.5+2257.5</f>
        <v>4794</v>
      </c>
      <c r="G203" s="18">
        <f>210.55+180.61+3000</f>
        <v>3391.16</v>
      </c>
      <c r="H203" s="18">
        <f>167.68+50+50+5250+360+50+52628</f>
        <v>58555.68</v>
      </c>
      <c r="I203" s="18">
        <v>711.72</v>
      </c>
      <c r="J203" s="18"/>
      <c r="K203" s="18"/>
      <c r="L203" s="19">
        <f t="shared" si="0"/>
        <v>67452.56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78704.81</v>
      </c>
      <c r="G204" s="18">
        <v>21035.83</v>
      </c>
      <c r="H204" s="18">
        <v>8177.77</v>
      </c>
      <c r="I204" s="18">
        <v>600.80999999999995</v>
      </c>
      <c r="J204" s="18"/>
      <c r="K204" s="18"/>
      <c r="L204" s="19">
        <f t="shared" si="0"/>
        <v>108519.22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18626.05</v>
      </c>
      <c r="G206" s="18">
        <v>1758.17</v>
      </c>
      <c r="H206" s="18">
        <v>8585.43</v>
      </c>
      <c r="I206" s="18">
        <v>17552.57</v>
      </c>
      <c r="J206" s="18"/>
      <c r="K206" s="18"/>
      <c r="L206" s="19">
        <f t="shared" si="0"/>
        <v>46522.22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35553+50386.74+20243</f>
        <v>106182.73999999999</v>
      </c>
      <c r="I207" s="18"/>
      <c r="J207" s="18"/>
      <c r="K207" s="18"/>
      <c r="L207" s="19">
        <f t="shared" si="0"/>
        <v>106182.73999999999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2354.09</v>
      </c>
      <c r="H208" s="18">
        <v>183.25</v>
      </c>
      <c r="I208" s="18"/>
      <c r="J208" s="18"/>
      <c r="K208" s="18"/>
      <c r="L208" s="19">
        <f>SUM(F208:K208)</f>
        <v>2537.34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324417.82</v>
      </c>
      <c r="G210" s="41">
        <f t="shared" si="1"/>
        <v>138435.73000000001</v>
      </c>
      <c r="H210" s="41">
        <f t="shared" si="1"/>
        <v>381902.73</v>
      </c>
      <c r="I210" s="41">
        <f t="shared" si="1"/>
        <v>27691.919999999998</v>
      </c>
      <c r="J210" s="41">
        <f t="shared" si="1"/>
        <v>0</v>
      </c>
      <c r="K210" s="41">
        <f t="shared" si="1"/>
        <v>0</v>
      </c>
      <c r="L210" s="41">
        <f t="shared" si="1"/>
        <v>872448.20000000007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142336.44</v>
      </c>
      <c r="I214" s="18"/>
      <c r="J214" s="18"/>
      <c r="K214" s="18"/>
      <c r="L214" s="19">
        <f>SUM(F214:K214)</f>
        <v>142336.44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9531</v>
      </c>
      <c r="I225" s="18"/>
      <c r="J225" s="18"/>
      <c r="K225" s="18"/>
      <c r="L225" s="19">
        <f t="shared" si="2"/>
        <v>9531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151867.44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151867.44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215179</v>
      </c>
      <c r="I232" s="18"/>
      <c r="J232" s="18"/>
      <c r="K232" s="18"/>
      <c r="L232" s="19">
        <f>SUM(F232:K232)</f>
        <v>215179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345080.18</v>
      </c>
      <c r="I233" s="18"/>
      <c r="J233" s="18"/>
      <c r="K233" s="18"/>
      <c r="L233" s="19">
        <f>SUM(F233:K233)</f>
        <v>345080.18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19063+16380</f>
        <v>35443</v>
      </c>
      <c r="I243" s="18"/>
      <c r="J243" s="18"/>
      <c r="K243" s="18"/>
      <c r="L243" s="19">
        <f t="shared" si="4"/>
        <v>35443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595702.17999999993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595702.17999999993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>
        <v>500</v>
      </c>
      <c r="L252" s="19">
        <f t="shared" si="6"/>
        <v>500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500</v>
      </c>
      <c r="L255" s="41">
        <f>SUM(F255:K255)</f>
        <v>500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324417.82</v>
      </c>
      <c r="G256" s="41">
        <f t="shared" si="8"/>
        <v>138435.73000000001</v>
      </c>
      <c r="H256" s="41">
        <f t="shared" si="8"/>
        <v>1129472.3499999999</v>
      </c>
      <c r="I256" s="41">
        <f t="shared" si="8"/>
        <v>27691.919999999998</v>
      </c>
      <c r="J256" s="41">
        <f t="shared" si="8"/>
        <v>0</v>
      </c>
      <c r="K256" s="41">
        <f t="shared" si="8"/>
        <v>500</v>
      </c>
      <c r="L256" s="41">
        <f t="shared" si="8"/>
        <v>1620517.82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1516.12</v>
      </c>
      <c r="L262" s="19">
        <f>SUM(F262:K262)</f>
        <v>1516.12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1516.12</v>
      </c>
      <c r="L269" s="41">
        <f t="shared" si="9"/>
        <v>1516.12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324417.82</v>
      </c>
      <c r="G270" s="42">
        <f t="shared" si="11"/>
        <v>138435.73000000001</v>
      </c>
      <c r="H270" s="42">
        <f t="shared" si="11"/>
        <v>1129472.3499999999</v>
      </c>
      <c r="I270" s="42">
        <f t="shared" si="11"/>
        <v>27691.919999999998</v>
      </c>
      <c r="J270" s="42">
        <f t="shared" si="11"/>
        <v>0</v>
      </c>
      <c r="K270" s="42">
        <f t="shared" si="11"/>
        <v>2016.12</v>
      </c>
      <c r="L270" s="42">
        <f t="shared" si="11"/>
        <v>1622033.9400000002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1983.62</v>
      </c>
      <c r="G275" s="18">
        <f>151.76+6.94</f>
        <v>158.69999999999999</v>
      </c>
      <c r="H275" s="18"/>
      <c r="I275" s="18">
        <f>1362.81+409.81+50.63</f>
        <v>1823.25</v>
      </c>
      <c r="J275" s="18">
        <f>583.3+722.12+5336.22+1076.39</f>
        <v>7718.0300000000007</v>
      </c>
      <c r="K275" s="18"/>
      <c r="L275" s="19">
        <f>SUM(F275:K275)</f>
        <v>11683.6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f>1870+14235</f>
        <v>16105</v>
      </c>
      <c r="I276" s="18">
        <f>145.2</f>
        <v>145.19999999999999</v>
      </c>
      <c r="J276" s="18">
        <f>4999.3+189</f>
        <v>5188.3</v>
      </c>
      <c r="K276" s="18"/>
      <c r="L276" s="19">
        <f>SUM(F276:K276)</f>
        <v>21438.5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38.68</v>
      </c>
      <c r="J280" s="18"/>
      <c r="K280" s="18"/>
      <c r="L280" s="19">
        <f t="shared" ref="L280:L286" si="12">SUM(F280:K280)</f>
        <v>38.68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1875</f>
        <v>1875</v>
      </c>
      <c r="G281" s="18">
        <f>143.45+169.49+6.55</f>
        <v>319.49</v>
      </c>
      <c r="H281" s="18">
        <f>899+7200+8784.22</f>
        <v>16883.22</v>
      </c>
      <c r="I281" s="18">
        <f>250</f>
        <v>250</v>
      </c>
      <c r="J281" s="18">
        <f>3594</f>
        <v>3594</v>
      </c>
      <c r="K281" s="18"/>
      <c r="L281" s="19">
        <f t="shared" si="12"/>
        <v>22921.71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500</v>
      </c>
      <c r="I282" s="18"/>
      <c r="J282" s="18"/>
      <c r="K282" s="18"/>
      <c r="L282" s="19">
        <f t="shared" si="12"/>
        <v>500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1701.04</v>
      </c>
      <c r="L284" s="19">
        <f t="shared" si="12"/>
        <v>1701.04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3858.62</v>
      </c>
      <c r="G289" s="42">
        <f t="shared" si="13"/>
        <v>478.19</v>
      </c>
      <c r="H289" s="42">
        <f t="shared" si="13"/>
        <v>33488.22</v>
      </c>
      <c r="I289" s="42">
        <f t="shared" si="13"/>
        <v>2257.13</v>
      </c>
      <c r="J289" s="42">
        <f t="shared" si="13"/>
        <v>16500.330000000002</v>
      </c>
      <c r="K289" s="42">
        <f t="shared" si="13"/>
        <v>1701.04</v>
      </c>
      <c r="L289" s="41">
        <f t="shared" si="13"/>
        <v>58283.53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3858.62</v>
      </c>
      <c r="G337" s="41">
        <f t="shared" si="20"/>
        <v>478.19</v>
      </c>
      <c r="H337" s="41">
        <f t="shared" si="20"/>
        <v>33488.22</v>
      </c>
      <c r="I337" s="41">
        <f t="shared" si="20"/>
        <v>2257.13</v>
      </c>
      <c r="J337" s="41">
        <f t="shared" si="20"/>
        <v>16500.330000000002</v>
      </c>
      <c r="K337" s="41">
        <f t="shared" si="20"/>
        <v>1701.04</v>
      </c>
      <c r="L337" s="41">
        <f t="shared" si="20"/>
        <v>58283.53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3858.62</v>
      </c>
      <c r="G351" s="41">
        <f>G337</f>
        <v>478.19</v>
      </c>
      <c r="H351" s="41">
        <f>H337</f>
        <v>33488.22</v>
      </c>
      <c r="I351" s="41">
        <f>I337</f>
        <v>2257.13</v>
      </c>
      <c r="J351" s="41">
        <f>J337</f>
        <v>16500.330000000002</v>
      </c>
      <c r="K351" s="47">
        <f>K337+K350</f>
        <v>1701.04</v>
      </c>
      <c r="L351" s="41">
        <f>L337+L350</f>
        <v>58283.53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1500</v>
      </c>
      <c r="I357" s="18">
        <v>16.12</v>
      </c>
      <c r="J357" s="18"/>
      <c r="K357" s="18"/>
      <c r="L357" s="13">
        <f>SUM(F357:K357)</f>
        <v>1516.12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1500</v>
      </c>
      <c r="I361" s="47">
        <f t="shared" si="22"/>
        <v>16.12</v>
      </c>
      <c r="J361" s="47">
        <f t="shared" si="22"/>
        <v>0</v>
      </c>
      <c r="K361" s="47">
        <f t="shared" si="22"/>
        <v>0</v>
      </c>
      <c r="L361" s="47">
        <f t="shared" si="22"/>
        <v>1516.12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16.12</v>
      </c>
      <c r="G367" s="63"/>
      <c r="H367" s="63"/>
      <c r="I367" s="56">
        <f>SUM(F367:H367)</f>
        <v>16.12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16.12</v>
      </c>
      <c r="G368" s="47">
        <f>SUM(G366:G367)</f>
        <v>0</v>
      </c>
      <c r="H368" s="47">
        <f>SUM(H366:H367)</f>
        <v>0</v>
      </c>
      <c r="I368" s="47">
        <f>SUM(I366:I367)</f>
        <v>16.12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29.93</v>
      </c>
      <c r="I388" s="18"/>
      <c r="J388" s="24" t="s">
        <v>289</v>
      </c>
      <c r="K388" s="24" t="s">
        <v>289</v>
      </c>
      <c r="L388" s="56">
        <f t="shared" si="25"/>
        <v>29.93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29.93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29.93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103.44</v>
      </c>
      <c r="I397" s="18"/>
      <c r="J397" s="24" t="s">
        <v>289</v>
      </c>
      <c r="K397" s="24" t="s">
        <v>289</v>
      </c>
      <c r="L397" s="56">
        <f t="shared" si="26"/>
        <v>103.44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103.44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103.44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133.37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133.37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>
        <v>29292.68</v>
      </c>
      <c r="L423" s="56">
        <f t="shared" si="29"/>
        <v>29292.68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29292.68</v>
      </c>
      <c r="L426" s="47">
        <f t="shared" si="30"/>
        <v>29292.68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29292.68</v>
      </c>
      <c r="L433" s="47">
        <f t="shared" si="32"/>
        <v>29292.68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65473.35</v>
      </c>
      <c r="G439" s="18">
        <v>210821.23</v>
      </c>
      <c r="H439" s="18"/>
      <c r="I439" s="56">
        <f t="shared" si="33"/>
        <v>276294.58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65473.35</v>
      </c>
      <c r="G445" s="13">
        <f>SUM(G438:G444)</f>
        <v>210821.23</v>
      </c>
      <c r="H445" s="13">
        <f>SUM(H438:H444)</f>
        <v>0</v>
      </c>
      <c r="I445" s="13">
        <f>SUM(I438:I444)</f>
        <v>276294.58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65473.35</v>
      </c>
      <c r="G458" s="18">
        <v>210821.23</v>
      </c>
      <c r="H458" s="18"/>
      <c r="I458" s="56">
        <f t="shared" si="34"/>
        <v>276294.58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65473.35</v>
      </c>
      <c r="G459" s="83">
        <f>SUM(G453:G458)</f>
        <v>210821.23</v>
      </c>
      <c r="H459" s="83">
        <f>SUM(H453:H458)</f>
        <v>0</v>
      </c>
      <c r="I459" s="83">
        <f>SUM(I453:I458)</f>
        <v>276294.58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65473.35</v>
      </c>
      <c r="G460" s="42">
        <f>G451+G459</f>
        <v>210821.23</v>
      </c>
      <c r="H460" s="42">
        <f>H451+H459</f>
        <v>0</v>
      </c>
      <c r="I460" s="42">
        <f>I451+I459</f>
        <v>276294.58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2621</v>
      </c>
      <c r="G464" s="18">
        <v>0</v>
      </c>
      <c r="H464" s="18">
        <v>0</v>
      </c>
      <c r="I464" s="18">
        <v>0</v>
      </c>
      <c r="J464" s="18">
        <v>305453.89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1628922.97</v>
      </c>
      <c r="G467" s="18">
        <v>1516.12</v>
      </c>
      <c r="H467" s="18">
        <v>58283.53</v>
      </c>
      <c r="I467" s="18"/>
      <c r="J467" s="18">
        <f>29.93+103.44</f>
        <v>133.37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1628922.97</v>
      </c>
      <c r="G469" s="53">
        <f>SUM(G467:G468)</f>
        <v>1516.12</v>
      </c>
      <c r="H469" s="53">
        <f>SUM(H467:H468)</f>
        <v>58283.53</v>
      </c>
      <c r="I469" s="53">
        <f>SUM(I467:I468)</f>
        <v>0</v>
      </c>
      <c r="J469" s="53">
        <f>SUM(J467:J468)</f>
        <v>133.37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1622033.94</v>
      </c>
      <c r="G471" s="18">
        <v>1516.12</v>
      </c>
      <c r="H471" s="18">
        <v>58283.53</v>
      </c>
      <c r="I471" s="18"/>
      <c r="J471" s="18">
        <v>29292.68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1622033.94</v>
      </c>
      <c r="G473" s="53">
        <f>SUM(G471:G472)</f>
        <v>1516.12</v>
      </c>
      <c r="H473" s="53">
        <f>SUM(H471:H472)</f>
        <v>58283.53</v>
      </c>
      <c r="I473" s="53">
        <f>SUM(I471:I472)</f>
        <v>0</v>
      </c>
      <c r="J473" s="53">
        <f>SUM(J471:J472)</f>
        <v>29292.68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9510.0300000000279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276294.58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32803.16+27334.02</f>
        <v>60137.180000000008</v>
      </c>
      <c r="G520" s="18">
        <f>20269.4+1442+62.7+127.92+4549.95+3706.82+211.02</f>
        <v>30369.81</v>
      </c>
      <c r="H520" s="18">
        <f>15928.66+90301.02+1870+14235</f>
        <v>122334.68000000001</v>
      </c>
      <c r="I520" s="18">
        <f>354.53+290.41+145.2</f>
        <v>790.1400000000001</v>
      </c>
      <c r="J520" s="18">
        <f>20253.15+4999.3+189</f>
        <v>25441.45</v>
      </c>
      <c r="K520" s="18"/>
      <c r="L520" s="88">
        <f>SUM(F520:K520)</f>
        <v>239073.26000000004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345080.18</v>
      </c>
      <c r="I522" s="18"/>
      <c r="J522" s="18"/>
      <c r="K522" s="18"/>
      <c r="L522" s="88">
        <f>SUM(F522:K522)</f>
        <v>345080.18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60137.180000000008</v>
      </c>
      <c r="G523" s="108">
        <f t="shared" ref="G523:L523" si="36">SUM(G520:G522)</f>
        <v>30369.81</v>
      </c>
      <c r="H523" s="108">
        <f t="shared" si="36"/>
        <v>467414.86</v>
      </c>
      <c r="I523" s="108">
        <f t="shared" si="36"/>
        <v>790.1400000000001</v>
      </c>
      <c r="J523" s="108">
        <f t="shared" si="36"/>
        <v>25441.45</v>
      </c>
      <c r="K523" s="108">
        <f t="shared" si="36"/>
        <v>0</v>
      </c>
      <c r="L523" s="89">
        <f t="shared" si="36"/>
        <v>584153.44000000006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630+1330+25623.95+22246+8784.22</f>
        <v>58614.17</v>
      </c>
      <c r="I525" s="18"/>
      <c r="J525" s="18"/>
      <c r="K525" s="18"/>
      <c r="L525" s="88">
        <f>SUM(F525:K525)</f>
        <v>58614.17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58614.17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58614.17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4919</v>
      </c>
      <c r="I530" s="18"/>
      <c r="J530" s="18"/>
      <c r="K530" s="18">
        <v>1137.94</v>
      </c>
      <c r="L530" s="88">
        <f>SUM(F530:K530)</f>
        <v>6056.9400000000005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4919</v>
      </c>
      <c r="I533" s="89">
        <f t="shared" si="38"/>
        <v>0</v>
      </c>
      <c r="J533" s="89">
        <f t="shared" si="38"/>
        <v>0</v>
      </c>
      <c r="K533" s="89">
        <f t="shared" si="38"/>
        <v>1137.94</v>
      </c>
      <c r="L533" s="89">
        <f t="shared" si="38"/>
        <v>6056.9400000000005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50386.74</v>
      </c>
      <c r="I540" s="18"/>
      <c r="J540" s="18"/>
      <c r="K540" s="18"/>
      <c r="L540" s="88">
        <f>SUM(F540:K540)</f>
        <v>50386.74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16380</v>
      </c>
      <c r="I542" s="18"/>
      <c r="J542" s="18"/>
      <c r="K542" s="18"/>
      <c r="L542" s="88">
        <f>SUM(F542:K542)</f>
        <v>16380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66766.739999999991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66766.739999999991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60137.180000000008</v>
      </c>
      <c r="G544" s="89">
        <f t="shared" ref="G544:L544" si="41">G523+G528+G533+G538+G543</f>
        <v>30369.81</v>
      </c>
      <c r="H544" s="89">
        <f t="shared" si="41"/>
        <v>597714.77</v>
      </c>
      <c r="I544" s="89">
        <f t="shared" si="41"/>
        <v>790.1400000000001</v>
      </c>
      <c r="J544" s="89">
        <f t="shared" si="41"/>
        <v>25441.45</v>
      </c>
      <c r="K544" s="89">
        <f t="shared" si="41"/>
        <v>1137.94</v>
      </c>
      <c r="L544" s="89">
        <f t="shared" si="41"/>
        <v>715591.29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239073.26000000004</v>
      </c>
      <c r="G548" s="87">
        <f>L525</f>
        <v>58614.17</v>
      </c>
      <c r="H548" s="87">
        <f>L530</f>
        <v>6056.9400000000005</v>
      </c>
      <c r="I548" s="87">
        <f>L535</f>
        <v>0</v>
      </c>
      <c r="J548" s="87">
        <f>L540</f>
        <v>50386.74</v>
      </c>
      <c r="K548" s="87">
        <f>SUM(F548:J548)</f>
        <v>354131.11000000004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345080.18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16380</v>
      </c>
      <c r="K550" s="87">
        <f>SUM(F550:J550)</f>
        <v>361460.18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584153.44000000006</v>
      </c>
      <c r="G551" s="89">
        <f t="shared" si="42"/>
        <v>58614.17</v>
      </c>
      <c r="H551" s="89">
        <f t="shared" si="42"/>
        <v>6056.9400000000005</v>
      </c>
      <c r="I551" s="89">
        <f t="shared" si="42"/>
        <v>0</v>
      </c>
      <c r="J551" s="89">
        <f t="shared" si="42"/>
        <v>66766.739999999991</v>
      </c>
      <c r="K551" s="89">
        <f t="shared" si="42"/>
        <v>715591.29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142336.44</v>
      </c>
      <c r="H574" s="18">
        <v>215179</v>
      </c>
      <c r="I574" s="87">
        <f>SUM(F574:H574)</f>
        <v>357515.44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15928.66+20253.15+1870</f>
        <v>38051.81</v>
      </c>
      <c r="G578" s="18"/>
      <c r="H578" s="18">
        <v>276967.09999999998</v>
      </c>
      <c r="I578" s="87">
        <f t="shared" si="47"/>
        <v>315018.90999999997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90301.02</v>
      </c>
      <c r="G579" s="18"/>
      <c r="H579" s="18"/>
      <c r="I579" s="87">
        <f t="shared" si="47"/>
        <v>90301.02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14235</v>
      </c>
      <c r="G581" s="18"/>
      <c r="H581" s="18">
        <v>68113.08</v>
      </c>
      <c r="I581" s="87">
        <f t="shared" si="47"/>
        <v>82348.08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35553</v>
      </c>
      <c r="I590" s="18">
        <v>9531</v>
      </c>
      <c r="J590" s="18">
        <v>19063</v>
      </c>
      <c r="K590" s="104">
        <f t="shared" ref="K590:K596" si="48">SUM(H590:J590)</f>
        <v>64147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50386.74</v>
      </c>
      <c r="I591" s="18"/>
      <c r="J591" s="18">
        <v>16380</v>
      </c>
      <c r="K591" s="104">
        <f t="shared" si="48"/>
        <v>66766.739999999991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20243</v>
      </c>
      <c r="I596" s="18"/>
      <c r="J596" s="18"/>
      <c r="K596" s="104">
        <f t="shared" si="48"/>
        <v>20243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106182.73999999999</v>
      </c>
      <c r="I597" s="108">
        <f>SUM(I590:I596)</f>
        <v>9531</v>
      </c>
      <c r="J597" s="108">
        <f>SUM(J590:J596)</f>
        <v>35443</v>
      </c>
      <c r="K597" s="108">
        <f>SUM(K590:K596)</f>
        <v>151156.74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16500.330000000002</v>
      </c>
      <c r="I603" s="18"/>
      <c r="J603" s="18"/>
      <c r="K603" s="104">
        <f>SUM(H603:J603)</f>
        <v>16500.330000000002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16500.330000000002</v>
      </c>
      <c r="I604" s="108">
        <f>SUM(I601:I603)</f>
        <v>0</v>
      </c>
      <c r="J604" s="108">
        <f>SUM(J601:J603)</f>
        <v>0</v>
      </c>
      <c r="K604" s="108">
        <f>SUM(K601:K603)</f>
        <v>16500.330000000002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1320</v>
      </c>
      <c r="G610" s="18">
        <f>100.98+168.24+4.62</f>
        <v>273.84000000000003</v>
      </c>
      <c r="H610" s="18"/>
      <c r="I610" s="18"/>
      <c r="J610" s="18"/>
      <c r="K610" s="18"/>
      <c r="L610" s="88">
        <f>SUM(F610:K610)</f>
        <v>1593.8400000000001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1320</v>
      </c>
      <c r="G613" s="108">
        <f t="shared" si="49"/>
        <v>273.84000000000003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1593.8400000000001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16976.5</v>
      </c>
      <c r="H616" s="109">
        <f>SUM(F51)</f>
        <v>16976.5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29748.53</v>
      </c>
      <c r="H618" s="109">
        <f>SUM(H51)</f>
        <v>29748.53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276294.58</v>
      </c>
      <c r="H620" s="109">
        <f>SUM(J51)</f>
        <v>276294.58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9510.0300000000007</v>
      </c>
      <c r="H621" s="109">
        <f>F475</f>
        <v>9510.0300000000279</v>
      </c>
      <c r="I621" s="121" t="s">
        <v>101</v>
      </c>
      <c r="J621" s="109">
        <f t="shared" ref="J621:J654" si="50">G621-H621</f>
        <v>-2.7284841053187847E-11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276294.58</v>
      </c>
      <c r="H625" s="109">
        <f>J475</f>
        <v>276294.58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1628922.97</v>
      </c>
      <c r="H626" s="104">
        <f>SUM(F467)</f>
        <v>1628922.97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1516.12</v>
      </c>
      <c r="H627" s="104">
        <f>SUM(G467)</f>
        <v>1516.12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58283.53</v>
      </c>
      <c r="H628" s="104">
        <f>SUM(H467)</f>
        <v>58283.53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133.37</v>
      </c>
      <c r="H630" s="104">
        <f>SUM(J467)</f>
        <v>133.37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1622033.9400000002</v>
      </c>
      <c r="H631" s="104">
        <f>SUM(F471)</f>
        <v>1622033.94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58283.53</v>
      </c>
      <c r="H632" s="104">
        <f>SUM(H471)</f>
        <v>58283.53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16.12</v>
      </c>
      <c r="H633" s="104">
        <f>I368</f>
        <v>16.12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1516.12</v>
      </c>
      <c r="H634" s="104">
        <f>SUM(G471)</f>
        <v>1516.12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133.37</v>
      </c>
      <c r="H636" s="164">
        <f>SUM(J467)</f>
        <v>133.37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29292.68</v>
      </c>
      <c r="H637" s="164">
        <f>SUM(J471)</f>
        <v>29292.68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65473.35</v>
      </c>
      <c r="H638" s="104">
        <f>SUM(F460)</f>
        <v>65473.35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210821.23</v>
      </c>
      <c r="H639" s="104">
        <f>SUM(G460)</f>
        <v>210821.23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276294.58</v>
      </c>
      <c r="H641" s="104">
        <f>SUM(I460)</f>
        <v>276294.58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133.37</v>
      </c>
      <c r="H643" s="104">
        <f>H407</f>
        <v>133.37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133.37</v>
      </c>
      <c r="H645" s="104">
        <f>L407</f>
        <v>133.37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151156.74</v>
      </c>
      <c r="H646" s="104">
        <f>L207+L225+L243</f>
        <v>151156.74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16500.330000000002</v>
      </c>
      <c r="H647" s="104">
        <f>(J256+J337)-(J254+J335)</f>
        <v>16500.330000000002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106182.73999999999</v>
      </c>
      <c r="H648" s="104">
        <f>H597</f>
        <v>106182.73999999999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9531</v>
      </c>
      <c r="H649" s="104">
        <f>I597</f>
        <v>9531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35443</v>
      </c>
      <c r="H650" s="104">
        <f>J597</f>
        <v>35443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1516.12</v>
      </c>
      <c r="H651" s="104">
        <f>K262+K344</f>
        <v>1516.12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932247.85000000009</v>
      </c>
      <c r="G659" s="19">
        <f>(L228+L308+L358)</f>
        <v>151867.44</v>
      </c>
      <c r="H659" s="19">
        <f>(L246+L327+L359)</f>
        <v>595702.17999999993</v>
      </c>
      <c r="I659" s="19">
        <f>SUM(F659:H659)</f>
        <v>1679817.47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106182.73999999999</v>
      </c>
      <c r="G661" s="19">
        <f>(L225+L305)-(J225+J305)</f>
        <v>9531</v>
      </c>
      <c r="H661" s="19">
        <f>(L243+L324)-(J243+J324)</f>
        <v>35443</v>
      </c>
      <c r="I661" s="19">
        <f>SUM(F661:H661)</f>
        <v>151156.74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160682.00000000003</v>
      </c>
      <c r="G662" s="200">
        <f>SUM(G574:G586)+SUM(I601:I603)+L611</f>
        <v>142336.44</v>
      </c>
      <c r="H662" s="200">
        <f>SUM(H574:H586)+SUM(J601:J603)+L612</f>
        <v>560259.17999999993</v>
      </c>
      <c r="I662" s="19">
        <f>SUM(F662:H662)</f>
        <v>863277.62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665383.1100000001</v>
      </c>
      <c r="G663" s="19">
        <f>G659-SUM(G660:G662)</f>
        <v>0</v>
      </c>
      <c r="H663" s="19">
        <f>H659-SUM(H660:H662)</f>
        <v>0</v>
      </c>
      <c r="I663" s="19">
        <f>I659-SUM(I660:I662)</f>
        <v>665383.11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42.12</v>
      </c>
      <c r="G664" s="249"/>
      <c r="H664" s="249"/>
      <c r="I664" s="19">
        <f>SUM(F664:H664)</f>
        <v>42.12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15797.32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15797.32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15797.32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15797.32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38" sqref="C3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MARLOW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148415.84</v>
      </c>
      <c r="C9" s="230">
        <f>'DOE25'!G196+'DOE25'!G214+'DOE25'!G232+'DOE25'!G275+'DOE25'!G294+'DOE25'!G313</f>
        <v>78259.14</v>
      </c>
    </row>
    <row r="10" spans="1:3">
      <c r="A10" t="s">
        <v>779</v>
      </c>
      <c r="B10" s="241">
        <v>148415.84</v>
      </c>
      <c r="C10" s="241">
        <v>78259.14</v>
      </c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148415.84</v>
      </c>
      <c r="C13" s="232">
        <f>SUM(C10:C12)</f>
        <v>78259.14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60137.18</v>
      </c>
      <c r="C18" s="230">
        <f>'DOE25'!G197+'DOE25'!G215+'DOE25'!G233+'DOE25'!G276+'DOE25'!G295+'DOE25'!G314</f>
        <v>30369.81</v>
      </c>
    </row>
    <row r="19" spans="1:3">
      <c r="A19" t="s">
        <v>779</v>
      </c>
      <c r="B19" s="241">
        <v>32803.160000000003</v>
      </c>
      <c r="C19" s="241">
        <v>16565.89</v>
      </c>
    </row>
    <row r="20" spans="1:3">
      <c r="A20" t="s">
        <v>780</v>
      </c>
      <c r="B20" s="241">
        <v>27334.02</v>
      </c>
      <c r="C20" s="241">
        <v>13803.92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60137.180000000008</v>
      </c>
      <c r="C22" s="232">
        <f>SUM(C19:C21)</f>
        <v>30369.809999999998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1320</v>
      </c>
      <c r="C36" s="236">
        <f>'DOE25'!G199+'DOE25'!G217+'DOE25'!G235+'DOE25'!G278+'DOE25'!G297+'DOE25'!G316</f>
        <v>273.83999999999997</v>
      </c>
    </row>
    <row r="37" spans="1:3">
      <c r="A37" t="s">
        <v>779</v>
      </c>
      <c r="B37" s="241">
        <v>1320</v>
      </c>
      <c r="C37" s="241">
        <v>273.83999999999997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1320</v>
      </c>
      <c r="C40" s="232">
        <f>SUM(C37:C39)</f>
        <v>273.83999999999997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MARLOW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1164638.01</v>
      </c>
      <c r="D5" s="20">
        <f>SUM('DOE25'!L196:L199)+SUM('DOE25'!L214:L217)+SUM('DOE25'!L232:L235)-F5-G5</f>
        <v>1164638.01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68577.179999999993</v>
      </c>
      <c r="D6" s="20">
        <f>'DOE25'!L201+'DOE25'!L219+'DOE25'!L237-F6-G6</f>
        <v>68577.179999999993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10614.55</v>
      </c>
      <c r="D7" s="20">
        <f>'DOE25'!L202+'DOE25'!L220+'DOE25'!L238-F7-G7</f>
        <v>10614.55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41098</v>
      </c>
      <c r="D8" s="244"/>
      <c r="E8" s="20">
        <f>'DOE25'!L203+'DOE25'!L221+'DOE25'!L239-F8-G8-D9-D11</f>
        <v>41098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11824.56</v>
      </c>
      <c r="D9" s="245">
        <f>3626.45+50+2438.11+50+5250+360+50</f>
        <v>11824.56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5250</v>
      </c>
      <c r="D10" s="244"/>
      <c r="E10" s="245">
        <v>5250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14530</v>
      </c>
      <c r="D11" s="245">
        <v>14530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108519.22</v>
      </c>
      <c r="D12" s="20">
        <f>'DOE25'!L204+'DOE25'!L222+'DOE25'!L240-F12-G12</f>
        <v>108519.22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46522.22</v>
      </c>
      <c r="D14" s="20">
        <f>'DOE25'!L206+'DOE25'!L224+'DOE25'!L242-F14-G14</f>
        <v>46522.22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151156.74</v>
      </c>
      <c r="D15" s="20">
        <f>'DOE25'!L207+'DOE25'!L225+'DOE25'!L243-F15-G15</f>
        <v>151156.74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2537.34</v>
      </c>
      <c r="D16" s="244"/>
      <c r="E16" s="20">
        <f>'DOE25'!L208+'DOE25'!L226+'DOE25'!L244-F16-G16</f>
        <v>2537.34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500</v>
      </c>
      <c r="D19" s="20">
        <f>'DOE25'!L252-F19-G19</f>
        <v>0</v>
      </c>
      <c r="E19" s="244"/>
      <c r="F19" s="256">
        <f>'DOE25'!J252</f>
        <v>0</v>
      </c>
      <c r="G19" s="53">
        <f>'DOE25'!K252</f>
        <v>500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1516.12</v>
      </c>
      <c r="D29" s="20">
        <f>'DOE25'!L357+'DOE25'!L358+'DOE25'!L359-'DOE25'!I366-F29-G29</f>
        <v>1516.12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58283.53</v>
      </c>
      <c r="D31" s="20">
        <f>'DOE25'!L289+'DOE25'!L308+'DOE25'!L327+'DOE25'!L332+'DOE25'!L333+'DOE25'!L334-F31-G31</f>
        <v>40082.159999999996</v>
      </c>
      <c r="E31" s="244"/>
      <c r="F31" s="256">
        <f>'DOE25'!J289+'DOE25'!J308+'DOE25'!J327+'DOE25'!J332+'DOE25'!J333+'DOE25'!J334</f>
        <v>16500.330000000002</v>
      </c>
      <c r="G31" s="53">
        <f>'DOE25'!K289+'DOE25'!K308+'DOE25'!K327+'DOE25'!K332+'DOE25'!K333+'DOE25'!K334</f>
        <v>1701.04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1617980.76</v>
      </c>
      <c r="E33" s="247">
        <f>SUM(E5:E31)</f>
        <v>48885.34</v>
      </c>
      <c r="F33" s="247">
        <f>SUM(F5:F31)</f>
        <v>16500.330000000002</v>
      </c>
      <c r="G33" s="247">
        <f>SUM(G5:G31)</f>
        <v>2201.04</v>
      </c>
      <c r="H33" s="247">
        <f>SUM(H5:H31)</f>
        <v>0</v>
      </c>
    </row>
    <row r="35" spans="2:8" ht="12" thickBot="1">
      <c r="B35" s="254" t="s">
        <v>847</v>
      </c>
      <c r="D35" s="255">
        <f>E33</f>
        <v>48885.34</v>
      </c>
      <c r="E35" s="250"/>
    </row>
    <row r="36" spans="2:8" ht="12" thickTop="1">
      <c r="B36" t="s">
        <v>815</v>
      </c>
      <c r="D36" s="20">
        <f>D33</f>
        <v>1617980.76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12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MARLOW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-18949.21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276294.58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28116.28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7809.43</v>
      </c>
      <c r="D12" s="95">
        <f>'DOE25'!G13</f>
        <v>0</v>
      </c>
      <c r="E12" s="95">
        <f>'DOE25'!H13</f>
        <v>29748.53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16976.5</v>
      </c>
      <c r="D18" s="41">
        <f>SUM(D8:D17)</f>
        <v>0</v>
      </c>
      <c r="E18" s="41">
        <f>SUM(E8:E17)</f>
        <v>29748.53</v>
      </c>
      <c r="F18" s="41">
        <f>SUM(F8:F17)</f>
        <v>0</v>
      </c>
      <c r="G18" s="41">
        <f>SUM(G8:G17)</f>
        <v>276294.58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28116.28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4703</v>
      </c>
      <c r="D23" s="95">
        <f>'DOE25'!G24</f>
        <v>0</v>
      </c>
      <c r="E23" s="95">
        <f>'DOE25'!H24</f>
        <v>1507.95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2763.47</v>
      </c>
      <c r="D27" s="95">
        <f>'DOE25'!G28</f>
        <v>0</v>
      </c>
      <c r="E27" s="95">
        <f>'DOE25'!H28</f>
        <v>124.3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7466.4699999999993</v>
      </c>
      <c r="D31" s="41">
        <f>SUM(D21:D30)</f>
        <v>0</v>
      </c>
      <c r="E31" s="41">
        <f>SUM(E21:E30)</f>
        <v>29748.53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9510.0300000000007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276294.58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9510.0300000000007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276294.58</v>
      </c>
      <c r="H49" s="124"/>
      <c r="I49" s="124"/>
    </row>
    <row r="50" spans="1:9" ht="12" thickTop="1">
      <c r="A50" s="38" t="s">
        <v>895</v>
      </c>
      <c r="B50" s="2"/>
      <c r="C50" s="41">
        <f>C49+C31</f>
        <v>16976.5</v>
      </c>
      <c r="D50" s="41">
        <f>D49+D31</f>
        <v>0</v>
      </c>
      <c r="E50" s="41">
        <f>E49+E31</f>
        <v>29748.53</v>
      </c>
      <c r="F50" s="41">
        <f>F49+F31</f>
        <v>0</v>
      </c>
      <c r="G50" s="41">
        <f>G49+G31</f>
        <v>276294.58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829994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472.63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133.37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3866.5299999999997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4339.16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133.37</v>
      </c>
      <c r="H61"/>
      <c r="I61"/>
    </row>
    <row r="62" spans="1:9" ht="12" thickTop="1">
      <c r="A62" s="29" t="s">
        <v>175</v>
      </c>
      <c r="B62" s="6"/>
      <c r="C62" s="22">
        <f>C55+C61</f>
        <v>834333.16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133.37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580207.29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157226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502.71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340.45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738276.45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14324.97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14324.97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752601.41999999993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10162.52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41988.39</v>
      </c>
      <c r="D87" s="95">
        <f>SUM('DOE25'!G152:G160)</f>
        <v>0</v>
      </c>
      <c r="E87" s="95">
        <f>SUM('DOE25'!H152:H160)</f>
        <v>48121.009999999995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41988.39</v>
      </c>
      <c r="D90" s="131">
        <f>SUM(D84:D89)</f>
        <v>0</v>
      </c>
      <c r="E90" s="131">
        <f>SUM(E84:E89)</f>
        <v>58283.53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1516.12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1516.12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1628922.97</v>
      </c>
      <c r="D103" s="86">
        <f>D62+D80+D90+D102</f>
        <v>1516.12</v>
      </c>
      <c r="E103" s="86">
        <f>E62+E80+E90+E102</f>
        <v>58283.53</v>
      </c>
      <c r="F103" s="86">
        <f>F62+F80+F90+F102</f>
        <v>0</v>
      </c>
      <c r="G103" s="86">
        <f>G62+G80+G102</f>
        <v>133.37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600329.23</v>
      </c>
      <c r="D108" s="24" t="s">
        <v>289</v>
      </c>
      <c r="E108" s="95">
        <f>('DOE25'!L275)+('DOE25'!L294)+('DOE25'!L313)</f>
        <v>11683.6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562714.93999999994</v>
      </c>
      <c r="D109" s="24" t="s">
        <v>289</v>
      </c>
      <c r="E109" s="95">
        <f>('DOE25'!L276)+('DOE25'!L295)+('DOE25'!L314)</f>
        <v>21438.5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1593.84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500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1165138.01</v>
      </c>
      <c r="D114" s="86">
        <f>SUM(D108:D113)</f>
        <v>0</v>
      </c>
      <c r="E114" s="86">
        <f>SUM(E108:E113)</f>
        <v>33122.1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68577.179999999993</v>
      </c>
      <c r="D117" s="24" t="s">
        <v>289</v>
      </c>
      <c r="E117" s="95">
        <f>+('DOE25'!L280)+('DOE25'!L299)+('DOE25'!L318)</f>
        <v>38.68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10614.55</v>
      </c>
      <c r="D118" s="24" t="s">
        <v>289</v>
      </c>
      <c r="E118" s="95">
        <f>+('DOE25'!L281)+('DOE25'!L300)+('DOE25'!L319)</f>
        <v>22921.71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67452.56</v>
      </c>
      <c r="D119" s="24" t="s">
        <v>289</v>
      </c>
      <c r="E119" s="95">
        <f>+('DOE25'!L282)+('DOE25'!L301)+('DOE25'!L320)</f>
        <v>500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108519.22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1701.04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46522.22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151156.74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2537.34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1516.12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455379.81</v>
      </c>
      <c r="D127" s="86">
        <f>SUM(D117:D126)</f>
        <v>1516.12</v>
      </c>
      <c r="E127" s="86">
        <f>SUM(E117:E126)</f>
        <v>25161.43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29292.68</v>
      </c>
    </row>
    <row r="134" spans="1:7">
      <c r="A134" t="s">
        <v>233</v>
      </c>
      <c r="B134" s="32" t="s">
        <v>234</v>
      </c>
      <c r="C134" s="95">
        <f>'DOE25'!L262</f>
        <v>1516.12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29.93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103.44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-133.37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1516.12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29292.68</v>
      </c>
    </row>
    <row r="144" spans="1:7" ht="12.75" thickTop="1" thickBot="1">
      <c r="A144" s="33" t="s">
        <v>244</v>
      </c>
      <c r="C144" s="86">
        <f>(C114+C127+C143)</f>
        <v>1622033.9400000002</v>
      </c>
      <c r="D144" s="86">
        <f>(D114+D127+D143)</f>
        <v>1516.12</v>
      </c>
      <c r="E144" s="86">
        <f>(E114+E127+E143)</f>
        <v>58283.53</v>
      </c>
      <c r="F144" s="86">
        <f>(F114+F127+F143)</f>
        <v>0</v>
      </c>
      <c r="G144" s="86">
        <f>(G114+G127+G143)</f>
        <v>29292.68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MARLOW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15797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15797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612013</v>
      </c>
      <c r="D10" s="182">
        <f>ROUND((C10/$C$28)*100,1)</f>
        <v>36.4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584153</v>
      </c>
      <c r="D11" s="182">
        <f>ROUND((C11/$C$28)*100,1)</f>
        <v>34.799999999999997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1594</v>
      </c>
      <c r="D13" s="182">
        <f>ROUND((C13/$C$28)*100,1)</f>
        <v>0.1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68616</v>
      </c>
      <c r="D15" s="182">
        <f t="shared" ref="D15:D27" si="0">ROUND((C15/$C$28)*100,1)</f>
        <v>4.0999999999999996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33536</v>
      </c>
      <c r="D16" s="182">
        <f t="shared" si="0"/>
        <v>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70490</v>
      </c>
      <c r="D17" s="182">
        <f t="shared" si="0"/>
        <v>4.2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108519</v>
      </c>
      <c r="D18" s="182">
        <f t="shared" si="0"/>
        <v>6.5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1701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46522</v>
      </c>
      <c r="D20" s="182">
        <f t="shared" si="0"/>
        <v>2.8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151157</v>
      </c>
      <c r="D21" s="182">
        <f t="shared" si="0"/>
        <v>9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500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1516</v>
      </c>
      <c r="D27" s="182">
        <f t="shared" si="0"/>
        <v>0.1</v>
      </c>
    </row>
    <row r="28" spans="1:4">
      <c r="B28" s="187" t="s">
        <v>723</v>
      </c>
      <c r="C28" s="180">
        <f>SUM(C10:C27)</f>
        <v>1680317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1680317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829994</v>
      </c>
      <c r="D35" s="182">
        <f t="shared" ref="D35:D40" si="1">ROUND((C35/$C$41)*100,1)</f>
        <v>49.2</v>
      </c>
    </row>
    <row r="36" spans="1:4">
      <c r="B36" s="185" t="s">
        <v>743</v>
      </c>
      <c r="C36" s="179">
        <f>SUM('DOE25'!F111:J111)-SUM('DOE25'!G96:G109)+('DOE25'!F173+'DOE25'!F174+'DOE25'!I173+'DOE25'!I174)-C35</f>
        <v>4472.5300000000279</v>
      </c>
      <c r="D36" s="182">
        <f t="shared" si="1"/>
        <v>0.3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737936</v>
      </c>
      <c r="D37" s="182">
        <f t="shared" si="1"/>
        <v>43.7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14665</v>
      </c>
      <c r="D38" s="182">
        <f t="shared" si="1"/>
        <v>0.9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100272</v>
      </c>
      <c r="D39" s="182">
        <f t="shared" si="1"/>
        <v>5.9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1687339.53</v>
      </c>
      <c r="D41" s="184">
        <f>SUM(D35:D40)</f>
        <v>100.00000000000001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MARLOW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2012-08-29T15:14:54Z</cp:lastPrinted>
  <dcterms:created xsi:type="dcterms:W3CDTF">1997-12-04T19:04:30Z</dcterms:created>
  <dcterms:modified xsi:type="dcterms:W3CDTF">2012-11-21T14:56:51Z</dcterms:modified>
</cp:coreProperties>
</file>