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1170" yWindow="9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81" i="1" l="1"/>
  <c r="F581" i="1"/>
  <c r="F9" i="1" l="1"/>
  <c r="F49" i="1"/>
  <c r="F471" i="1"/>
  <c r="F458" i="1"/>
  <c r="F439" i="1"/>
  <c r="C39" i="12" l="1"/>
  <c r="B39" i="12"/>
  <c r="C28" i="12"/>
  <c r="C29" i="12"/>
  <c r="B28" i="12"/>
  <c r="C21" i="12"/>
  <c r="C20" i="12"/>
  <c r="B20" i="12"/>
  <c r="C19" i="12"/>
  <c r="B19" i="12"/>
  <c r="B21" i="12"/>
  <c r="B10" i="12"/>
  <c r="B12" i="12"/>
  <c r="C12" i="12"/>
  <c r="C10" i="12"/>
  <c r="I590" i="1"/>
  <c r="H590" i="1"/>
  <c r="J590" i="1"/>
  <c r="I294" i="1"/>
  <c r="J594" i="1"/>
  <c r="H472" i="1"/>
  <c r="H603" i="1"/>
  <c r="J196" i="1"/>
  <c r="I357" i="1"/>
  <c r="H467" i="1"/>
  <c r="I358" i="1"/>
  <c r="H540" i="1"/>
  <c r="H531" i="1"/>
  <c r="H530" i="1"/>
  <c r="J525" i="1"/>
  <c r="H527" i="1"/>
  <c r="H526" i="1"/>
  <c r="H525" i="1"/>
  <c r="J522" i="1"/>
  <c r="J521" i="1"/>
  <c r="J520" i="1"/>
  <c r="I520" i="1"/>
  <c r="H522" i="1"/>
  <c r="H521" i="1"/>
  <c r="H520" i="1"/>
  <c r="G520" i="1"/>
  <c r="G522" i="1"/>
  <c r="G521" i="1"/>
  <c r="G527" i="1"/>
  <c r="G526" i="1"/>
  <c r="G525" i="1"/>
  <c r="F527" i="1"/>
  <c r="F526" i="1"/>
  <c r="F525" i="1"/>
  <c r="F522" i="1"/>
  <c r="F521" i="1"/>
  <c r="F520" i="1"/>
  <c r="J603" i="1" l="1"/>
  <c r="I603" i="1"/>
  <c r="H591" i="1"/>
  <c r="F501" i="1"/>
  <c r="H357" i="1"/>
  <c r="H305" i="1"/>
  <c r="H244" i="1"/>
  <c r="I242" i="1"/>
  <c r="H242" i="1"/>
  <c r="G242" i="1"/>
  <c r="F242" i="1"/>
  <c r="I240" i="1"/>
  <c r="H240" i="1"/>
  <c r="K239" i="1"/>
  <c r="I239" i="1"/>
  <c r="H239" i="1"/>
  <c r="G239" i="1"/>
  <c r="F239" i="1"/>
  <c r="H237" i="1"/>
  <c r="H235" i="1"/>
  <c r="H233" i="1"/>
  <c r="H232" i="1"/>
  <c r="H226" i="1"/>
  <c r="H225" i="1"/>
  <c r="I224" i="1"/>
  <c r="H224" i="1"/>
  <c r="G224" i="1"/>
  <c r="F224" i="1"/>
  <c r="H222" i="1"/>
  <c r="K221" i="1"/>
  <c r="I221" i="1"/>
  <c r="H221" i="1"/>
  <c r="G221" i="1"/>
  <c r="F221" i="1"/>
  <c r="H219" i="1"/>
  <c r="H215" i="1"/>
  <c r="H214" i="1"/>
  <c r="H208" i="1"/>
  <c r="I206" i="1"/>
  <c r="H206" i="1"/>
  <c r="G206" i="1"/>
  <c r="F206" i="1"/>
  <c r="H204" i="1"/>
  <c r="K203" i="1"/>
  <c r="I203" i="1"/>
  <c r="H203" i="1"/>
  <c r="G203" i="1"/>
  <c r="F203" i="1"/>
  <c r="H201" i="1"/>
  <c r="H197" i="1"/>
  <c r="H109" i="1"/>
  <c r="H158" i="1"/>
  <c r="H153" i="1"/>
  <c r="G96" i="1"/>
  <c r="H47" i="1" l="1"/>
  <c r="F40" i="2" l="1"/>
  <c r="D39" i="2"/>
  <c r="G654" i="1" l="1"/>
  <c r="F47" i="2" l="1"/>
  <c r="E47" i="2"/>
  <c r="D47" i="2"/>
  <c r="C47" i="2"/>
  <c r="F46" i="2"/>
  <c r="F49" i="2" s="1"/>
  <c r="E46" i="2"/>
  <c r="E49" i="2" s="1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G649" i="1" s="1"/>
  <c r="L243" i="1"/>
  <c r="G650" i="1" s="1"/>
  <c r="F17" i="13"/>
  <c r="G17" i="13"/>
  <c r="L250" i="1"/>
  <c r="F18" i="13"/>
  <c r="G18" i="13"/>
  <c r="L251" i="1"/>
  <c r="F19" i="13"/>
  <c r="G19" i="13"/>
  <c r="L252" i="1"/>
  <c r="F29" i="13"/>
  <c r="L357" i="1"/>
  <c r="L358" i="1"/>
  <c r="I366" i="1"/>
  <c r="J289" i="1"/>
  <c r="J308" i="1"/>
  <c r="J327" i="1"/>
  <c r="K289" i="1"/>
  <c r="K308" i="1"/>
  <c r="K327" i="1"/>
  <c r="L275" i="1"/>
  <c r="L276" i="1"/>
  <c r="L277" i="1"/>
  <c r="E110" i="2" s="1"/>
  <c r="L278" i="1"/>
  <c r="E111" i="2" s="1"/>
  <c r="L280" i="1"/>
  <c r="L281" i="1"/>
  <c r="L282" i="1"/>
  <c r="L283" i="1"/>
  <c r="L284" i="1"/>
  <c r="E121" i="2" s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E120" i="2" s="1"/>
  <c r="L322" i="1"/>
  <c r="L323" i="1"/>
  <c r="L324" i="1"/>
  <c r="L325" i="1"/>
  <c r="L332" i="1"/>
  <c r="L333" i="1"/>
  <c r="L334" i="1"/>
  <c r="L259" i="1"/>
  <c r="C32" i="10" s="1"/>
  <c r="L260" i="1"/>
  <c r="C131" i="2" s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1" i="2" s="1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C56" i="2" s="1"/>
  <c r="C61" i="2" s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F139" i="1" s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L249" i="1"/>
  <c r="L331" i="1"/>
  <c r="L253" i="1"/>
  <c r="C24" i="10" s="1"/>
  <c r="C25" i="10"/>
  <c r="L267" i="1"/>
  <c r="L268" i="1"/>
  <c r="L348" i="1"/>
  <c r="L349" i="1"/>
  <c r="I664" i="1"/>
  <c r="I669" i="1"/>
  <c r="I668" i="1"/>
  <c r="C4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L269" i="1" s="1"/>
  <c r="J269" i="1"/>
  <c r="I269" i="1"/>
  <c r="H269" i="1"/>
  <c r="G269" i="1"/>
  <c r="F269" i="1"/>
  <c r="A1" i="2"/>
  <c r="A2" i="2"/>
  <c r="C8" i="2"/>
  <c r="C18" i="2" s="1"/>
  <c r="D8" i="2"/>
  <c r="E8" i="2"/>
  <c r="F8" i="2"/>
  <c r="F18" i="2" s="1"/>
  <c r="I438" i="1"/>
  <c r="J9" i="1" s="1"/>
  <c r="C9" i="2"/>
  <c r="D9" i="2"/>
  <c r="E9" i="2"/>
  <c r="E18" i="2" s="1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C31" i="2" s="1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E56" i="2"/>
  <c r="C57" i="2"/>
  <c r="E57" i="2"/>
  <c r="C58" i="2"/>
  <c r="D58" i="2"/>
  <c r="E58" i="2"/>
  <c r="E61" i="2" s="1"/>
  <c r="E62" i="2" s="1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C90" i="2" s="1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D102" i="2" s="1"/>
  <c r="E95" i="2"/>
  <c r="F95" i="2"/>
  <c r="G95" i="2"/>
  <c r="G102" i="2" s="1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12" i="2"/>
  <c r="E112" i="2"/>
  <c r="C113" i="2"/>
  <c r="E113" i="2"/>
  <c r="D114" i="2"/>
  <c r="F114" i="2"/>
  <c r="G114" i="2"/>
  <c r="E122" i="2"/>
  <c r="E124" i="2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G155" i="2" s="1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G158" i="2" s="1"/>
  <c r="C158" i="2"/>
  <c r="D158" i="2"/>
  <c r="E158" i="2"/>
  <c r="F158" i="2"/>
  <c r="B159" i="2"/>
  <c r="C159" i="2"/>
  <c r="D159" i="2"/>
  <c r="E159" i="2"/>
  <c r="F159" i="2"/>
  <c r="F499" i="1"/>
  <c r="B160" i="2" s="1"/>
  <c r="G160" i="2" s="1"/>
  <c r="G499" i="1"/>
  <c r="C160" i="2" s="1"/>
  <c r="H499" i="1"/>
  <c r="D160" i="2" s="1"/>
  <c r="I499" i="1"/>
  <c r="E160" i="2" s="1"/>
  <c r="J499" i="1"/>
  <c r="F160" i="2" s="1"/>
  <c r="B161" i="2"/>
  <c r="G161" i="2" s="1"/>
  <c r="C161" i="2"/>
  <c r="D161" i="2"/>
  <c r="E161" i="2"/>
  <c r="F161" i="2"/>
  <c r="B162" i="2"/>
  <c r="C162" i="2"/>
  <c r="D162" i="2"/>
  <c r="E162" i="2"/>
  <c r="F162" i="2"/>
  <c r="F502" i="1"/>
  <c r="B163" i="2" s="1"/>
  <c r="G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G618" i="1" s="1"/>
  <c r="I19" i="1"/>
  <c r="F32" i="1"/>
  <c r="G32" i="1"/>
  <c r="H32" i="1"/>
  <c r="I32" i="1"/>
  <c r="F50" i="1"/>
  <c r="G621" i="1" s="1"/>
  <c r="G50" i="1"/>
  <c r="G622" i="1" s="1"/>
  <c r="H50" i="1"/>
  <c r="G623" i="1" s="1"/>
  <c r="I50" i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H361" i="1"/>
  <c r="I361" i="1"/>
  <c r="G633" i="1" s="1"/>
  <c r="J361" i="1"/>
  <c r="I367" i="1"/>
  <c r="F368" i="1"/>
  <c r="G368" i="1"/>
  <c r="H368" i="1"/>
  <c r="I368" i="1"/>
  <c r="H633" i="1" s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H407" i="1" s="1"/>
  <c r="H643" i="1" s="1"/>
  <c r="I400" i="1"/>
  <c r="F406" i="1"/>
  <c r="G406" i="1"/>
  <c r="H406" i="1"/>
  <c r="I406" i="1"/>
  <c r="F407" i="1"/>
  <c r="G407" i="1"/>
  <c r="I407" i="1"/>
  <c r="L412" i="1"/>
  <c r="L413" i="1"/>
  <c r="L414" i="1"/>
  <c r="L415" i="1"/>
  <c r="L416" i="1"/>
  <c r="L417" i="1"/>
  <c r="F418" i="1"/>
  <c r="G418" i="1"/>
  <c r="G433" i="1" s="1"/>
  <c r="H418" i="1"/>
  <c r="I418" i="1"/>
  <c r="I433" i="1" s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33" i="1"/>
  <c r="H433" i="1"/>
  <c r="J433" i="1"/>
  <c r="F445" i="1"/>
  <c r="G638" i="1" s="1"/>
  <c r="G445" i="1"/>
  <c r="H445" i="1"/>
  <c r="F451" i="1"/>
  <c r="G451" i="1"/>
  <c r="H451" i="1"/>
  <c r="I451" i="1"/>
  <c r="F459" i="1"/>
  <c r="F460" i="1" s="1"/>
  <c r="H638" i="1" s="1"/>
  <c r="G459" i="1"/>
  <c r="H459" i="1"/>
  <c r="G460" i="1"/>
  <c r="H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F544" i="1" s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G570" i="1" s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G619" i="1"/>
  <c r="G624" i="1"/>
  <c r="H626" i="1"/>
  <c r="H627" i="1"/>
  <c r="H628" i="1"/>
  <c r="H629" i="1"/>
  <c r="H630" i="1"/>
  <c r="H631" i="1"/>
  <c r="H632" i="1"/>
  <c r="H634" i="1"/>
  <c r="H635" i="1"/>
  <c r="H636" i="1"/>
  <c r="H637" i="1"/>
  <c r="G639" i="1"/>
  <c r="H639" i="1"/>
  <c r="G640" i="1"/>
  <c r="H640" i="1"/>
  <c r="G642" i="1"/>
  <c r="H642" i="1"/>
  <c r="G643" i="1"/>
  <c r="H644" i="1"/>
  <c r="G651" i="1"/>
  <c r="H651" i="1"/>
  <c r="G652" i="1"/>
  <c r="H652" i="1"/>
  <c r="J652" i="1" s="1"/>
  <c r="G653" i="1"/>
  <c r="H653" i="1"/>
  <c r="J653" i="1" s="1"/>
  <c r="H654" i="1"/>
  <c r="F191" i="1"/>
  <c r="L255" i="1"/>
  <c r="G159" i="2"/>
  <c r="C26" i="10"/>
  <c r="L350" i="1"/>
  <c r="C69" i="2"/>
  <c r="G8" i="2"/>
  <c r="D61" i="2"/>
  <c r="D62" i="2" s="1"/>
  <c r="D18" i="13"/>
  <c r="C18" i="13" s="1"/>
  <c r="F102" i="2"/>
  <c r="D17" i="13"/>
  <c r="C17" i="13" s="1"/>
  <c r="G80" i="2"/>
  <c r="F77" i="2"/>
  <c r="F80" i="2" s="1"/>
  <c r="F61" i="2"/>
  <c r="F62" i="2" s="1"/>
  <c r="D31" i="2"/>
  <c r="D49" i="2"/>
  <c r="G156" i="2"/>
  <c r="G162" i="2"/>
  <c r="G157" i="2"/>
  <c r="E143" i="2"/>
  <c r="E102" i="2"/>
  <c r="C102" i="2"/>
  <c r="D90" i="2"/>
  <c r="F90" i="2"/>
  <c r="D19" i="13"/>
  <c r="C19" i="13" s="1"/>
  <c r="I459" i="1" l="1"/>
  <c r="I460" i="1" s="1"/>
  <c r="H641" i="1" s="1"/>
  <c r="A40" i="12"/>
  <c r="A31" i="12"/>
  <c r="H661" i="1"/>
  <c r="L613" i="1"/>
  <c r="L533" i="1"/>
  <c r="L544" i="1" s="1"/>
  <c r="L528" i="1"/>
  <c r="L523" i="1"/>
  <c r="I662" i="1"/>
  <c r="K502" i="1"/>
  <c r="K499" i="1"/>
  <c r="E123" i="2"/>
  <c r="E117" i="2"/>
  <c r="L289" i="1"/>
  <c r="F31" i="13"/>
  <c r="E119" i="2"/>
  <c r="E118" i="2"/>
  <c r="G31" i="13"/>
  <c r="I337" i="1"/>
  <c r="I351" i="1" s="1"/>
  <c r="E108" i="2"/>
  <c r="E109" i="2"/>
  <c r="C12" i="10"/>
  <c r="J337" i="1"/>
  <c r="J351" i="1" s="1"/>
  <c r="L327" i="1"/>
  <c r="C13" i="10"/>
  <c r="K337" i="1"/>
  <c r="K351" i="1" s="1"/>
  <c r="J651" i="1"/>
  <c r="C130" i="2"/>
  <c r="D14" i="13"/>
  <c r="C14" i="13" s="1"/>
  <c r="C122" i="2"/>
  <c r="C20" i="10"/>
  <c r="C15" i="10"/>
  <c r="C110" i="2"/>
  <c r="C11" i="10"/>
  <c r="L246" i="1"/>
  <c r="C124" i="2"/>
  <c r="H646" i="1"/>
  <c r="G661" i="1"/>
  <c r="J649" i="1"/>
  <c r="C19" i="10"/>
  <c r="C120" i="2"/>
  <c r="E8" i="13"/>
  <c r="C8" i="13" s="1"/>
  <c r="D7" i="13"/>
  <c r="C7" i="13" s="1"/>
  <c r="K256" i="1"/>
  <c r="D6" i="13"/>
  <c r="C6" i="13" s="1"/>
  <c r="L228" i="1"/>
  <c r="C117" i="2"/>
  <c r="C111" i="2"/>
  <c r="I256" i="1"/>
  <c r="I270" i="1" s="1"/>
  <c r="C10" i="10"/>
  <c r="G256" i="1"/>
  <c r="G270" i="1" s="1"/>
  <c r="F256" i="1"/>
  <c r="F270" i="1" s="1"/>
  <c r="D15" i="13"/>
  <c r="C15" i="13" s="1"/>
  <c r="F661" i="1"/>
  <c r="C21" i="10"/>
  <c r="C123" i="2"/>
  <c r="G648" i="1"/>
  <c r="J648" i="1" s="1"/>
  <c r="C121" i="2"/>
  <c r="E13" i="13"/>
  <c r="C13" i="13" s="1"/>
  <c r="D12" i="13"/>
  <c r="C12" i="13" s="1"/>
  <c r="C18" i="10"/>
  <c r="C17" i="10"/>
  <c r="C119" i="2"/>
  <c r="C16" i="10"/>
  <c r="C118" i="2"/>
  <c r="C109" i="2"/>
  <c r="A22" i="12"/>
  <c r="C108" i="2"/>
  <c r="L210" i="1"/>
  <c r="E90" i="2"/>
  <c r="C77" i="2"/>
  <c r="C62" i="2"/>
  <c r="F31" i="2"/>
  <c r="F50" i="2"/>
  <c r="I51" i="1"/>
  <c r="H619" i="1" s="1"/>
  <c r="J619" i="1" s="1"/>
  <c r="E31" i="2"/>
  <c r="H51" i="1"/>
  <c r="H618" i="1" s="1"/>
  <c r="J618" i="1"/>
  <c r="G51" i="1"/>
  <c r="H617" i="1" s="1"/>
  <c r="J617" i="1" s="1"/>
  <c r="D50" i="2"/>
  <c r="D18" i="2"/>
  <c r="F51" i="1"/>
  <c r="H616" i="1" s="1"/>
  <c r="J616" i="1" s="1"/>
  <c r="K270" i="1"/>
  <c r="G644" i="1"/>
  <c r="I445" i="1"/>
  <c r="G641" i="1" s="1"/>
  <c r="J641" i="1" s="1"/>
  <c r="C80" i="2"/>
  <c r="C103" i="2" s="1"/>
  <c r="E77" i="2"/>
  <c r="E80" i="2" s="1"/>
  <c r="E103" i="2" s="1"/>
  <c r="F103" i="2"/>
  <c r="L426" i="1"/>
  <c r="J256" i="1"/>
  <c r="J270" i="1" s="1"/>
  <c r="H111" i="1"/>
  <c r="H192" i="1" s="1"/>
  <c r="G628" i="1" s="1"/>
  <c r="J628" i="1" s="1"/>
  <c r="F111" i="1"/>
  <c r="J640" i="1"/>
  <c r="J638" i="1"/>
  <c r="K604" i="1"/>
  <c r="G647" i="1" s="1"/>
  <c r="J570" i="1"/>
  <c r="K570" i="1"/>
  <c r="L432" i="1"/>
  <c r="L418" i="1"/>
  <c r="D80" i="2"/>
  <c r="D103" i="2" s="1"/>
  <c r="I168" i="1"/>
  <c r="H168" i="1"/>
  <c r="G551" i="1"/>
  <c r="L433" i="1"/>
  <c r="G637" i="1" s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 s="1"/>
  <c r="C23" i="10"/>
  <c r="F168" i="1"/>
  <c r="C39" i="10" s="1"/>
  <c r="J139" i="1"/>
  <c r="J637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K544" i="1"/>
  <c r="I192" i="1"/>
  <c r="G629" i="1" s="1"/>
  <c r="J629" i="1" s="1"/>
  <c r="J551" i="1"/>
  <c r="H551" i="1"/>
  <c r="C29" i="10"/>
  <c r="H139" i="1"/>
  <c r="C38" i="10" s="1"/>
  <c r="L400" i="1"/>
  <c r="C138" i="2" s="1"/>
  <c r="L392" i="1"/>
  <c r="A13" i="12"/>
  <c r="F22" i="13"/>
  <c r="H25" i="13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F551" i="1"/>
  <c r="C35" i="10"/>
  <c r="L308" i="1"/>
  <c r="D5" i="13"/>
  <c r="E16" i="13"/>
  <c r="C49" i="2"/>
  <c r="C50" i="2" s="1"/>
  <c r="J654" i="1"/>
  <c r="J644" i="1"/>
  <c r="J192" i="1"/>
  <c r="L569" i="1"/>
  <c r="I570" i="1"/>
  <c r="I544" i="1"/>
  <c r="J635" i="1"/>
  <c r="G36" i="2"/>
  <c r="G49" i="2" s="1"/>
  <c r="G50" i="2" s="1"/>
  <c r="J50" i="1"/>
  <c r="L564" i="1"/>
  <c r="L570" i="1" s="1"/>
  <c r="G544" i="1"/>
  <c r="H544" i="1"/>
  <c r="K550" i="1"/>
  <c r="F143" i="2"/>
  <c r="F144" i="2" s="1"/>
  <c r="K551" i="1" l="1"/>
  <c r="E127" i="2"/>
  <c r="I661" i="1"/>
  <c r="E114" i="2"/>
  <c r="J646" i="1"/>
  <c r="L256" i="1"/>
  <c r="L270" i="1" s="1"/>
  <c r="G631" i="1" s="1"/>
  <c r="J631" i="1" s="1"/>
  <c r="C127" i="2"/>
  <c r="F659" i="1"/>
  <c r="H647" i="1"/>
  <c r="J647" i="1" s="1"/>
  <c r="C114" i="2"/>
  <c r="C36" i="10"/>
  <c r="C41" i="10" s="1"/>
  <c r="D39" i="10" s="1"/>
  <c r="F192" i="1"/>
  <c r="G626" i="1" s="1"/>
  <c r="J626" i="1" s="1"/>
  <c r="C5" i="13"/>
  <c r="C22" i="13"/>
  <c r="F33" i="13"/>
  <c r="C137" i="2"/>
  <c r="C140" i="2" s="1"/>
  <c r="C143" i="2" s="1"/>
  <c r="L407" i="1"/>
  <c r="C16" i="13"/>
  <c r="E33" i="13"/>
  <c r="D35" i="13" s="1"/>
  <c r="G659" i="1"/>
  <c r="D31" i="13"/>
  <c r="C31" i="13" s="1"/>
  <c r="L337" i="1"/>
  <c r="L351" i="1" s="1"/>
  <c r="C25" i="13"/>
  <c r="H33" i="13"/>
  <c r="G630" i="1"/>
  <c r="J630" i="1" s="1"/>
  <c r="G645" i="1"/>
  <c r="G625" i="1"/>
  <c r="J51" i="1"/>
  <c r="H620" i="1" s="1"/>
  <c r="J620" i="1" s="1"/>
  <c r="E144" i="2" l="1"/>
  <c r="G632" i="1"/>
  <c r="J632" i="1" s="1"/>
  <c r="C144" i="2"/>
  <c r="G636" i="1"/>
  <c r="J636" i="1" s="1"/>
  <c r="H645" i="1"/>
  <c r="J645" i="1" s="1"/>
  <c r="D37" i="10"/>
  <c r="D35" i="10"/>
  <c r="D40" i="10"/>
  <c r="D36" i="10"/>
  <c r="D38" i="10"/>
  <c r="J625" i="1"/>
  <c r="G29" i="13" l="1"/>
  <c r="G33" i="13" s="1"/>
  <c r="K361" i="1"/>
  <c r="L359" i="1"/>
  <c r="D41" i="10"/>
  <c r="D126" i="2" l="1"/>
  <c r="D127" i="2" s="1"/>
  <c r="D144" i="2" s="1"/>
  <c r="L361" i="1"/>
  <c r="H660" i="1"/>
  <c r="G660" i="1"/>
  <c r="G663" i="1" s="1"/>
  <c r="F660" i="1"/>
  <c r="D29" i="13"/>
  <c r="H659" i="1"/>
  <c r="H663" i="1" l="1"/>
  <c r="I659" i="1"/>
  <c r="C29" i="13"/>
  <c r="D33" i="13"/>
  <c r="D36" i="13" s="1"/>
  <c r="I660" i="1"/>
  <c r="F663" i="1"/>
  <c r="G666" i="1"/>
  <c r="G671" i="1"/>
  <c r="C5" i="10" s="1"/>
  <c r="C27" i="10"/>
  <c r="G634" i="1"/>
  <c r="F666" i="1" l="1"/>
  <c r="F671" i="1"/>
  <c r="C4" i="10" s="1"/>
  <c r="J634" i="1"/>
  <c r="H655" i="1"/>
  <c r="I663" i="1"/>
  <c r="C28" i="10"/>
  <c r="D27" i="10" s="1"/>
  <c r="H666" i="1"/>
  <c r="H671" i="1"/>
  <c r="C6" i="10" s="1"/>
  <c r="D23" i="10" l="1"/>
  <c r="D11" i="10"/>
  <c r="C30" i="10"/>
  <c r="D21" i="10"/>
  <c r="D10" i="10"/>
  <c r="D24" i="10"/>
  <c r="D26" i="10"/>
  <c r="D12" i="10"/>
  <c r="D22" i="10"/>
  <c r="D25" i="10"/>
  <c r="D17" i="10"/>
  <c r="D13" i="10"/>
  <c r="D18" i="10"/>
  <c r="D15" i="10"/>
  <c r="D20" i="10"/>
  <c r="D19" i="10"/>
  <c r="D16" i="10"/>
  <c r="I666" i="1"/>
  <c r="I671" i="1"/>
  <c r="C7" i="10" s="1"/>
  <c r="D28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<sst xmlns="http://schemas.openxmlformats.org/spreadsheetml/2006/main" count="3951" uniqueCount="918">
  <si>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</si>
  <si>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</si>
  <si>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</si>
  <si>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</si>
  <si>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</si>
  <si>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</si>
  <si>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</si>
  <si>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</si>
  <si>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</si>
  <si>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</si>
  <si>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</si>
  <si>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</si>
  <si>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</si>
  <si>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</si>
  <si>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</si>
  <si>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</si>
  <si>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</si>
  <si>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</si>
  <si>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</si>
  <si>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</si>
  <si>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</si>
  <si>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</si>
  <si>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</si>
  <si>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</si>
  <si>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</si>
  <si>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</si>
  <si>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</si>
  <si>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</si>
  <si>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</si>
  <si>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</si>
  <si>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</si>
  <si>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</si>
  <si>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</si>
  <si>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</si>
  <si>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</si>
  <si>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</si>
  <si>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</si>
  <si>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</si>
  <si>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</si>
  <si>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</si>
  <si>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</si>
  <si>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</si>
  <si>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</si>
  <si>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</si>
  <si>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</si>
  <si>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</si>
  <si>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</si>
  <si>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</si>
  <si>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</si>
  <si>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</si>
  <si>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</si>
  <si>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</si>
  <si>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</si>
  <si>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</si>
  <si>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</si>
  <si>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</si>
  <si>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</si>
  <si>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</si>
  <si>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</si>
  <si>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</si>
  <si>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</si>
  <si>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</si>
  <si>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</si>
  <si>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</si>
  <si>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</si>
  <si>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</si>
  <si>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</si>
  <si>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</si>
  <si>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</si>
  <si>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</si>
  <si>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</si>
  <si>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</si>
  <si>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</si>
  <si>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</si>
  <si>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</si>
  <si>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</si>
  <si>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</si>
  <si>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</si>
  <si>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</si>
  <si>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</si>
  <si>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</si>
  <si>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</si>
  <si>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</si>
  <si>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</si>
  <si>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</si>
  <si>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</si>
  <si>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</si>
  <si>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</si>
  <si>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</si>
  <si>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</si>
  <si>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</si>
  <si>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</si>
  <si>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</si>
  <si>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</si>
  <si>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</si>
  <si>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</si>
  <si>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</si>
  <si>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</si>
  <si>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</si>
  <si>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</si>
  <si>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</si>
  <si>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</si>
  <si>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</si>
  <si>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</si>
  <si>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</si>
  <si>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</si>
  <si>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</si>
  <si>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</si>
  <si>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</si>
  <si>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</si>
  <si>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</si>
  <si>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</si>
  <si>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</si>
  <si>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</si>
  <si>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</si>
  <si>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</si>
  <si>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</si>
  <si>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</si>
  <si>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</si>
  <si>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</si>
  <si>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</si>
  <si>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</si>
  <si>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</si>
  <si>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</si>
  <si>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</si>
  <si>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</si>
  <si>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</si>
  <si>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</si>
  <si>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</si>
  <si>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</si>
  <si>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</si>
  <si>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</si>
  <si>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</si>
  <si>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</si>
  <si>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</si>
  <si>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</si>
  <si>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</si>
  <si>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</si>
  <si>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</si>
  <si>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</si>
  <si>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</si>
  <si>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</si>
  <si>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</si>
  <si>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</si>
  <si>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</si>
  <si>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</si>
  <si>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</si>
  <si>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</si>
  <si>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</si>
  <si>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</si>
  <si>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</si>
  <si>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</si>
  <si>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</si>
  <si>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</si>
  <si>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</si>
  <si>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</si>
  <si>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</si>
  <si>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</si>
  <si>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</si>
  <si>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</si>
  <si>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</si>
  <si>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</si>
  <si>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</si>
  <si>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</si>
  <si>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</si>
  <si>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</si>
  <si>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</si>
  <si>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</si>
  <si>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</si>
  <si>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</si>
  <si>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</si>
  <si>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</si>
  <si>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</si>
  <si>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</si>
  <si>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</si>
  <si>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</si>
  <si>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</si>
  <si>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</si>
  <si>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</si>
  <si>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</si>
  <si>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</si>
  <si>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</si>
  <si>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</si>
  <si>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</si>
  <si>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</si>
  <si>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</si>
  <si>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</si>
  <si>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</si>
  <si>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</si>
  <si>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</si>
  <si>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</si>
  <si>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</si>
  <si>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</si>
  <si>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</si>
  <si>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</si>
  <si>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</si>
  <si>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</si>
  <si>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</si>
  <si>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</si>
  <si>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</si>
  <si>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</si>
  <si>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</si>
  <si>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</si>
  <si>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</si>
  <si>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</si>
  <si>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</si>
  <si>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</si>
  <si>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</si>
  <si>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</si>
  <si>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</si>
  <si>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</si>
  <si>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</si>
  <si>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</si>
  <si>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</si>
  <si>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</si>
  <si>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</si>
  <si>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</si>
  <si>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</si>
  <si>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</si>
  <si>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</si>
  <si>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</si>
  <si>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</si>
  <si>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</si>
  <si>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</si>
  <si>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</si>
  <si>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</si>
  <si>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</si>
  <si>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</si>
  <si>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</si>
  <si>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</si>
  <si>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</si>
  <si>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</si>
  <si>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</si>
  <si>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</si>
  <si>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</si>
  <si>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</si>
  <si>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</si>
  <si>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</si>
  <si>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</si>
  <si>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</si>
  <si>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</si>
  <si>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</si>
  <si>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</si>
  <si>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</si>
  <si>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</si>
  <si>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</si>
  <si>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</si>
  <si>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</si>
  <si>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</si>
  <si>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</si>
  <si>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</si>
  <si>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</si>
  <si>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</si>
  <si>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</si>
  <si>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</si>
  <si>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</si>
  <si>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</si>
  <si>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</si>
  <si>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</si>
  <si>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</si>
  <si>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</si>
  <si>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</si>
  <si>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</si>
  <si>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</si>
  <si>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</si>
  <si>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</si>
  <si>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</si>
  <si>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</si>
  <si>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</si>
  <si>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</si>
  <si>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</si>
  <si>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</si>
  <si>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</si>
  <si>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</si>
  <si>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</si>
  <si>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</si>
  <si>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</si>
  <si>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</si>
  <si>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</si>
  <si>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</si>
  <si>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</si>
  <si>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</si>
  <si>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</si>
  <si>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</si>
  <si>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</si>
  <si>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</si>
  <si>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</si>
  <si>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</si>
  <si>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</si>
  <si>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</si>
  <si>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</si>
  <si>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</si>
  <si>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</si>
  <si>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</si>
  <si>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</si>
  <si>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</si>
  <si>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</si>
  <si>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</si>
  <si>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</si>
  <si>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</si>
  <si>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</si>
  <si>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</si>
  <si>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</si>
  <si>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</si>
  <si>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</si>
  <si>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</si>
  <si>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</si>
  <si>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</si>
  <si>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</si>
  <si>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</si>
  <si>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</si>
  <si>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</si>
  <si>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</si>
  <si>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</si>
  <si>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</si>
  <si>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</si>
  <si>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</si>
  <si>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</si>
  <si>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</si>
  <si>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</si>
  <si>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</si>
  <si>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</si>
  <si>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</si>
  <si>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</si>
  <si>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</si>
  <si>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</si>
  <si>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</si>
  <si>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</si>
  <si>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</si>
  <si>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</si>
  <si>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</si>
  <si>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</si>
  <si>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</si>
  <si>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</si>
  <si>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</si>
  <si>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</si>
  <si>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</si>
  <si>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</si>
  <si>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</si>
  <si>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</si>
  <si>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</si>
  <si>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</si>
  <si>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</si>
  <si>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</si>
  <si>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</si>
  <si>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</si>
  <si>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</si>
  <si>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</si>
  <si>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</si>
  <si>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</si>
  <si>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</si>
  <si>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</si>
  <si>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</si>
  <si>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</si>
  <si>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</si>
  <si>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</si>
  <si>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</si>
  <si>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</si>
  <si>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</si>
  <si>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</si>
  <si>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</si>
  <si>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</si>
  <si>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</si>
  <si>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</si>
  <si>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</si>
  <si>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</si>
  <si>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</si>
  <si>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</si>
  <si>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</si>
  <si>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</si>
  <si>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</si>
  <si>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</si>
  <si>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</si>
  <si>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</si>
  <si>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</si>
  <si>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</si>
  <si>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</si>
  <si>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</si>
  <si>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</si>
  <si>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</si>
  <si>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</si>
  <si>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</si>
  <si>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</si>
  <si>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</si>
  <si>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</si>
  <si>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</si>
  <si>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</si>
  <si>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</si>
  <si>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</si>
  <si>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</si>
  <si>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</si>
  <si>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</si>
  <si>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</si>
  <si>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</si>
  <si>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</si>
  <si>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</si>
  <si>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</si>
  <si>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</si>
  <si>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</si>
  <si>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</si>
  <si>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</si>
  <si>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</si>
  <si>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</si>
  <si>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</si>
  <si>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</si>
  <si>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</si>
  <si>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</si>
  <si>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</si>
  <si>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</si>
  <si>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</si>
  <si>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</si>
  <si>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</si>
  <si>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</si>
  <si>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</si>
  <si>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</si>
  <si>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</si>
  <si>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</si>
  <si>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</si>
  <si>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</si>
  <si>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</si>
  <si>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</si>
  <si>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</si>
  <si>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</si>
  <si>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</si>
  <si>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</si>
  <si>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</si>
  <si>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</si>
  <si>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</si>
  <si>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</si>
  <si>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</si>
  <si>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</si>
  <si>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</si>
  <si>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</si>
  <si>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</si>
  <si>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</si>
  <si>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</si>
  <si>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</si>
  <si>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</si>
  <si>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</si>
  <si>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</si>
  <si>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</si>
  <si>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</si>
  <si>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</si>
  <si>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</si>
  <si>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</si>
  <si>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</si>
  <si>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</si>
  <si>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</si>
  <si>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</si>
  <si>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</si>
  <si>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</si>
  <si>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</si>
  <si>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</si>
  <si>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</si>
  <si>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</si>
  <si>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</si>
  <si>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</si>
  <si>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</si>
  <si>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</si>
  <si>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</si>
  <si>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</si>
  <si>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</si>
  <si>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</si>
  <si>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</si>
  <si>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</si>
  <si>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</si>
  <si>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</si>
  <si>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</si>
  <si>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</si>
  <si>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</si>
  <si>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</si>
  <si>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</si>
  <si>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</si>
  <si>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</si>
  <si>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</si>
  <si>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</si>
  <si>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</si>
  <si>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</si>
  <si>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</si>
  <si>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</si>
  <si>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</si>
  <si>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</si>
  <si>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</si>
  <si>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</si>
  <si>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</si>
  <si>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</si>
  <si>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</si>
  <si>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</si>
  <si>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</si>
  <si>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</si>
  <si>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</si>
  <si>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</si>
  <si>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</si>
  <si>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</si>
  <si>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</si>
  <si>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</si>
  <si>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</si>
  <si>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</si>
  <si>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</si>
  <si>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</si>
  <si>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</si>
  <si>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</si>
  <si>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</si>
  <si>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</si>
  <si>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</si>
  <si>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</si>
  <si>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</si>
  <si>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</si>
  <si>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</si>
  <si>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</si>
  <si>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</si>
  <si>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</si>
  <si>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</si>
  <si>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</si>
  <si>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</si>
  <si>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</si>
  <si>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</si>
  <si>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</si>
  <si>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</si>
  <si>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</si>
  <si>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</si>
  <si>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</si>
  <si>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</si>
  <si>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</si>
  <si>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</si>
  <si>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</si>
  <si>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</si>
  <si>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</si>
  <si>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</si>
  <si>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</si>
  <si>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</si>
  <si>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</si>
  <si>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</si>
  <si>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</si>
  <si>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</si>
  <si>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</si>
  <si>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</si>
  <si>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</si>
  <si>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</si>
  <si>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</si>
  <si>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</si>
  <si>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</si>
  <si>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</si>
  <si>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</si>
  <si>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</si>
  <si>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</si>
  <si>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</si>
  <si>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</si>
  <si>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</si>
  <si>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</si>
  <si>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</si>
  <si>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</si>
  <si>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</si>
  <si>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</si>
  <si>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</si>
  <si>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</si>
  <si>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</si>
  <si>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</si>
  <si>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</si>
  <si>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</si>
  <si>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</si>
  <si>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</si>
  <si>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</si>
  <si>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</si>
  <si>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</si>
  <si>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</si>
  <si>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</si>
  <si>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</si>
  <si>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</si>
  <si>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</si>
  <si>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</si>
  <si>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</si>
  <si>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</si>
  <si>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</si>
  <si>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</si>
  <si>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</si>
  <si>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</si>
  <si>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</si>
  <si>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</si>
  <si>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</si>
  <si>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</si>
  <si>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</si>
  <si>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</si>
  <si>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</si>
  <si>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</si>
  <si>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</si>
  <si>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</si>
  <si>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</si>
  <si>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</si>
  <si>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</si>
  <si>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</si>
  <si>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</si>
  <si>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</si>
  <si>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</si>
  <si>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</si>
  <si>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</si>
  <si>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</si>
  <si>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</si>
  <si>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</si>
  <si>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</si>
  <si>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</si>
  <si>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</si>
  <si>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</si>
  <si>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</si>
  <si>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</si>
  <si>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</si>
  <si>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</si>
  <si>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</si>
  <si>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</si>
  <si>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</si>
  <si>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</si>
  <si>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</si>
  <si>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</si>
  <si>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</si>
  <si>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</si>
  <si>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</si>
  <si>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</si>
  <si>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</si>
  <si>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</si>
  <si>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</si>
  <si>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</si>
  <si>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</si>
  <si>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</si>
  <si>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</si>
  <si>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</si>
  <si>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</si>
  <si>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</si>
  <si>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</si>
  <si>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</si>
  <si>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</si>
  <si>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</si>
  <si>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</si>
  <si>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</si>
  <si>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</si>
  <si>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</si>
  <si>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</si>
  <si>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</si>
  <si>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</si>
  <si>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</si>
  <si>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</si>
  <si>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</si>
  <si>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</si>
  <si>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</si>
  <si>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</si>
  <si>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</si>
  <si>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</si>
  <si>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</si>
  <si>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</si>
  <si>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</si>
  <si>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</si>
  <si>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</si>
  <si>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</si>
  <si>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</si>
  <si>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</si>
  <si>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</si>
  <si>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</si>
  <si>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</si>
  <si>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</si>
  <si>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</si>
  <si>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</si>
  <si>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</si>
  <si>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</si>
  <si>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</si>
  <si>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</si>
  <si>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</si>
  <si>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</si>
  <si>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</si>
  <si>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</si>
  <si>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</si>
  <si>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</si>
  <si>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</si>
  <si>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</si>
  <si>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</si>
  <si>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</si>
  <si>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</si>
  <si>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</si>
  <si>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</si>
  <si>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</si>
  <si>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</si>
  <si>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</si>
  <si>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</si>
  <si>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</si>
  <si>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</si>
  <si>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</si>
  <si>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</si>
  <si>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</si>
  <si>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</si>
  <si>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</si>
  <si>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</si>
  <si>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</si>
  <si>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</si>
  <si>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</si>
  <si>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</si>
  <si>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</si>
  <si>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</si>
  <si>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</si>
  <si>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</si>
  <si>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</si>
  <si>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</si>
  <si>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</si>
  <si>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</si>
  <si>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</si>
  <si>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</si>
  <si>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</si>
  <si>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</si>
  <si>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</si>
  <si>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</si>
  <si>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</si>
  <si>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</si>
  <si>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</si>
  <si>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</si>
  <si>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</si>
  <si>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</si>
  <si>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</si>
  <si>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</si>
  <si>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</si>
  <si>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</si>
  <si>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</si>
  <si>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</si>
  <si>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</si>
  <si>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</si>
  <si>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</si>
  <si>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</si>
  <si>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</si>
  <si>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</si>
  <si>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</si>
  <si>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</si>
  <si>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</si>
  <si>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</si>
  <si>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</si>
  <si>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</si>
  <si>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</si>
  <si>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</si>
  <si>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</si>
  <si>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</si>
  <si>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</si>
  <si>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</si>
  <si>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</si>
  <si>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</si>
  <si>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</si>
  <si>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</si>
  <si>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</si>
  <si>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</si>
  <si>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</si>
  <si>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</si>
  <si>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</si>
  <si>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</si>
  <si>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</si>
  <si>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</si>
  <si>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</si>
  <si>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</si>
  <si>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</si>
  <si>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</si>
  <si>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</si>
  <si>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</si>
  <si>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</si>
  <si>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</si>
  <si>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</si>
  <si>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</si>
  <si>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</si>
  <si>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</si>
  <si>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</si>
  <si>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</si>
  <si>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</si>
  <si>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</si>
  <si>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</si>
  <si>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</si>
  <si>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</si>
  <si>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</si>
  <si>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</si>
  <si>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</si>
  <si>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</si>
  <si>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</si>
  <si>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</si>
  <si>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</si>
  <si>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</si>
  <si>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</si>
  <si>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</si>
  <si>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</si>
  <si>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</si>
  <si>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</si>
  <si>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</si>
  <si>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</si>
  <si>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</si>
  <si>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</si>
  <si>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</si>
  <si>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</si>
  <si>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</si>
  <si>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</si>
  <si>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</si>
  <si>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</si>
  <si>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</si>
  <si>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</si>
  <si>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</si>
  <si>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</si>
  <si>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</si>
  <si>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</si>
  <si>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</si>
  <si>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</si>
  <si>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</si>
  <si>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</si>
  <si>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</si>
  <si>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</si>
  <si>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</si>
  <si>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</si>
  <si>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</si>
  <si>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</si>
  <si>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</si>
  <si>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</si>
  <si>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</si>
  <si>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</si>
  <si>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</si>
  <si>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</si>
  <si>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</si>
  <si>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</si>
  <si>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</si>
  <si>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</si>
  <si>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</si>
  <si>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</si>
  <si>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</si>
  <si>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</si>
  <si>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</si>
  <si>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</si>
  <si>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</si>
  <si>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</si>
  <si>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</si>
  <si>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</si>
  <si>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</si>
  <si>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</si>
  <si>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</si>
  <si>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</si>
  <si>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</si>
  <si>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</si>
  <si>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</si>
  <si>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</si>
  <si>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</si>
  <si>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</si>
  <si>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</si>
  <si>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</si>
  <si>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</si>
  <si>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</si>
  <si>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</si>
  <si>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</si>
  <si>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</si>
  <si>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</si>
  <si>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</si>
  <si>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</si>
  <si>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</si>
  <si>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</si>
  <si>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</si>
  <si>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</si>
  <si>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</si>
  <si>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</si>
  <si>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</si>
  <si>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</si>
  <si>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</si>
  <si>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</si>
  <si>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</si>
  <si>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</si>
  <si>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</si>
  <si>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</si>
  <si>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</si>
  <si>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</si>
  <si>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</si>
  <si>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</si>
  <si>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</si>
  <si>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</si>
  <si>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</si>
  <si>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</si>
  <si>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</si>
  <si>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</si>
  <si>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</si>
  <si>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</si>
  <si>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</si>
  <si>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</si>
  <si>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</si>
  <si>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</si>
  <si>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</si>
  <si>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</si>
  <si>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</si>
  <si>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</si>
  <si>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</si>
  <si>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</si>
  <si>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</si>
  <si>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</si>
  <si>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</si>
  <si>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</si>
  <si>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</si>
  <si>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</si>
  <si>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</si>
  <si>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</si>
  <si>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</si>
  <si>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</si>
  <si>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</si>
  <si>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</si>
  <si>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</si>
  <si>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</si>
  <si>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</si>
  <si>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</si>
  <si>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</si>
  <si>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</si>
  <si>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</si>
  <si>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</si>
  <si>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</si>
  <si>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</si>
  <si>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</si>
  <si>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</si>
  <si>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</si>
  <si>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</si>
  <si>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06/10</t>
  </si>
  <si>
    <t>9/26</t>
  </si>
  <si>
    <t>General Fund- Audit Adj (JE #323) $3122</t>
  </si>
  <si>
    <t>Other Funds- Audit Adj (JE#321 and 322) $4606.65 and $802.62</t>
  </si>
  <si>
    <t>Food Service- Increase in Inventory (JE #706)</t>
  </si>
  <si>
    <t>although the transfer from general fund to special revenue occurred 4/15/2012 per warrant article #8 voted March 2012</t>
  </si>
  <si>
    <t>the transfer should not have taken place until SY 12-13.  This revision removes the transfer, in order to tie forms</t>
  </si>
  <si>
    <t>DOE25/MS25 and MS24 properly. Jk 10/1/2012</t>
  </si>
  <si>
    <t xml:space="preserve">Mascenic Regional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</si>
</sst>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0" fontId="2" fillId="0" borderId="0" xfId="0" quotePrefix="1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917</v>
      </c>
      <c r="B2" s="21">
        <v>342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1094985+50000</f>
        <v>1144985</v>
      </c>
      <c r="G9" s="18">
        <v>100</v>
      </c>
      <c r="H9" s="18">
        <v>966</v>
      </c>
      <c r="I9" s="18">
        <v>238708</v>
      </c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>
        <v>6010</v>
      </c>
      <c r="I10" s="18"/>
      <c r="J10" s="67">
        <f>SUM(I439)</f>
        <v>90710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120501</v>
      </c>
      <c r="G12" s="18">
        <v>9279</v>
      </c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5731</v>
      </c>
      <c r="G14" s="18">
        <v>5704</v>
      </c>
      <c r="H14" s="18">
        <v>138825</v>
      </c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8806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1271217</v>
      </c>
      <c r="G19" s="41">
        <f>SUM(G9:G18)</f>
        <v>23889</v>
      </c>
      <c r="H19" s="41">
        <f>SUM(H9:H18)</f>
        <v>145801</v>
      </c>
      <c r="I19" s="41">
        <f>SUM(I9:I18)</f>
        <v>238708</v>
      </c>
      <c r="J19" s="41">
        <f>SUM(J9:J18)</f>
        <v>90710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9279</v>
      </c>
      <c r="G22" s="18"/>
      <c r="H22" s="18">
        <v>120443</v>
      </c>
      <c r="I22" s="18">
        <v>58</v>
      </c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85091</v>
      </c>
      <c r="G24" s="18">
        <v>6308</v>
      </c>
      <c r="H24" s="18">
        <v>16021</v>
      </c>
      <c r="I24" s="18">
        <v>3328</v>
      </c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94370</v>
      </c>
      <c r="G32" s="41">
        <f>SUM(G22:G31)</f>
        <v>6308</v>
      </c>
      <c r="H32" s="41">
        <f>SUM(H22:H31)</f>
        <v>136464</v>
      </c>
      <c r="I32" s="41">
        <f>SUM(I22:I31)</f>
        <v>3386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8806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8775</v>
      </c>
      <c r="H47" s="18">
        <f>2361+6976</f>
        <v>9337</v>
      </c>
      <c r="I47" s="18">
        <v>58840</v>
      </c>
      <c r="J47" s="13">
        <f>SUM(I458)</f>
        <v>90710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276321</v>
      </c>
      <c r="G48" s="18"/>
      <c r="H48" s="18"/>
      <c r="I48" s="18">
        <v>176482</v>
      </c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511291+339234+1+50000</f>
        <v>900526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1176847</v>
      </c>
      <c r="G50" s="41">
        <f>SUM(G35:G49)</f>
        <v>17581</v>
      </c>
      <c r="H50" s="41">
        <f>SUM(H35:H49)</f>
        <v>9337</v>
      </c>
      <c r="I50" s="41">
        <f>SUM(I35:I49)</f>
        <v>235322</v>
      </c>
      <c r="J50" s="41">
        <f>SUM(J35:J49)</f>
        <v>90710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1271217</v>
      </c>
      <c r="G51" s="41">
        <f>G50+G32</f>
        <v>23889</v>
      </c>
      <c r="H51" s="41">
        <f>H50+H32</f>
        <v>145801</v>
      </c>
      <c r="I51" s="41">
        <f>I50+I32</f>
        <v>238708</v>
      </c>
      <c r="J51" s="41">
        <f>J50+J32</f>
        <v>90710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6408320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6408320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27160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2955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53237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3110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86462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/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118</v>
      </c>
      <c r="G95" s="18"/>
      <c r="H95" s="18">
        <v>3</v>
      </c>
      <c r="I95" s="18">
        <v>1140</v>
      </c>
      <c r="J95" s="18">
        <v>772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147916+5692+52443</f>
        <v>206051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9055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30</v>
      </c>
      <c r="G101" s="18"/>
      <c r="H101" s="18">
        <v>4500</v>
      </c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>
        <v>310</v>
      </c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15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81834</v>
      </c>
      <c r="G109" s="18"/>
      <c r="H109" s="18">
        <f>2803+4607</f>
        <v>7410</v>
      </c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91362</v>
      </c>
      <c r="G110" s="41">
        <f>SUM(G95:G109)</f>
        <v>206051</v>
      </c>
      <c r="H110" s="41">
        <f>SUM(H95:H109)</f>
        <v>11913</v>
      </c>
      <c r="I110" s="41">
        <f>SUM(I95:I109)</f>
        <v>1140</v>
      </c>
      <c r="J110" s="41">
        <f>SUM(J95:J109)</f>
        <v>772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6586144</v>
      </c>
      <c r="G111" s="41">
        <f>G59+G110</f>
        <v>206051</v>
      </c>
      <c r="H111" s="41">
        <f>H59+H78+H93+H110</f>
        <v>11913</v>
      </c>
      <c r="I111" s="41">
        <f>I59+I110</f>
        <v>1140</v>
      </c>
      <c r="J111" s="41">
        <f>J59+J110</f>
        <v>772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5411690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1241270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4689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11875</v>
      </c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6669524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812639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>
        <v>635512</v>
      </c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>
        <v>125925</v>
      </c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113650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58405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2750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4867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51850</v>
      </c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1800731</v>
      </c>
      <c r="G135" s="41">
        <f>SUM(G122:G134)</f>
        <v>4867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8470255</v>
      </c>
      <c r="G139" s="41">
        <f>G120+SUM(G135:G136)</f>
        <v>4867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>
        <v>143420</v>
      </c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233818+45913</f>
        <v>279731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81900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173709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254802+69493</f>
        <v>324295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131739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>
        <v>24107</v>
      </c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275159</v>
      </c>
      <c r="G161" s="41">
        <f>SUM(G149:G160)</f>
        <v>197816</v>
      </c>
      <c r="H161" s="41">
        <f>SUM(H149:H160)</f>
        <v>685926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275159</v>
      </c>
      <c r="G168" s="41">
        <f>G146+G161+SUM(G162:G167)</f>
        <v>197816</v>
      </c>
      <c r="H168" s="41">
        <f>H146+H161+SUM(H162:H167)</f>
        <v>685926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>
        <v>1233321</v>
      </c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1233321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22274</v>
      </c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22274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1233321</v>
      </c>
      <c r="G191" s="41">
        <f>G182+SUM(G187:G190)</f>
        <v>22274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16564879</v>
      </c>
      <c r="G192" s="47">
        <f>G111+G139+G168+G191</f>
        <v>431008</v>
      </c>
      <c r="H192" s="47">
        <f>H111+H139+H168+H191</f>
        <v>697839</v>
      </c>
      <c r="I192" s="47">
        <f>I111+I139+I168+I191</f>
        <v>1140</v>
      </c>
      <c r="J192" s="47">
        <f>J111+J139+J191</f>
        <v>772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1261444</v>
      </c>
      <c r="G196" s="18">
        <v>501205</v>
      </c>
      <c r="H196" s="18">
        <v>13975</v>
      </c>
      <c r="I196" s="18">
        <v>107363</v>
      </c>
      <c r="J196" s="18">
        <f>11899+11450</f>
        <v>23349</v>
      </c>
      <c r="K196" s="18">
        <v>3447</v>
      </c>
      <c r="L196" s="19">
        <f>SUM(F196:K196)</f>
        <v>1910783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267478</v>
      </c>
      <c r="G197" s="18">
        <v>66680</v>
      </c>
      <c r="H197" s="18">
        <f>1568+59452</f>
        <v>61020</v>
      </c>
      <c r="I197" s="18">
        <v>6504</v>
      </c>
      <c r="J197" s="18">
        <v>779</v>
      </c>
      <c r="K197" s="18"/>
      <c r="L197" s="19">
        <f>SUM(F197:K197)</f>
        <v>402461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2909</v>
      </c>
      <c r="G199" s="18">
        <v>363</v>
      </c>
      <c r="H199" s="18"/>
      <c r="I199" s="18"/>
      <c r="J199" s="18"/>
      <c r="K199" s="18"/>
      <c r="L199" s="19">
        <f>SUM(F199:K199)</f>
        <v>3272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215010</v>
      </c>
      <c r="G201" s="18">
        <v>89515</v>
      </c>
      <c r="H201" s="18">
        <f>57085+473</f>
        <v>57558</v>
      </c>
      <c r="I201" s="18">
        <v>4468</v>
      </c>
      <c r="J201" s="18">
        <v>134</v>
      </c>
      <c r="K201" s="18">
        <v>642</v>
      </c>
      <c r="L201" s="19">
        <f t="shared" ref="L201:L207" si="0">SUM(F201:K201)</f>
        <v>367327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57468</v>
      </c>
      <c r="G202" s="18">
        <v>59540</v>
      </c>
      <c r="H202" s="18">
        <v>503</v>
      </c>
      <c r="I202" s="18">
        <v>16644</v>
      </c>
      <c r="J202" s="18"/>
      <c r="K202" s="18"/>
      <c r="L202" s="19">
        <f t="shared" si="0"/>
        <v>134155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2422+108336</f>
        <v>110758</v>
      </c>
      <c r="G203" s="18">
        <f>232+40764</f>
        <v>40996</v>
      </c>
      <c r="H203" s="18">
        <f>21937+17504+14813</f>
        <v>54254</v>
      </c>
      <c r="I203" s="18">
        <f>52+825</f>
        <v>877</v>
      </c>
      <c r="J203" s="18">
        <v>624</v>
      </c>
      <c r="K203" s="18">
        <f>4473+1423</f>
        <v>5896</v>
      </c>
      <c r="L203" s="19">
        <f t="shared" si="0"/>
        <v>213405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219692</v>
      </c>
      <c r="G204" s="18">
        <v>84932</v>
      </c>
      <c r="H204" s="18">
        <f>204+9880</f>
        <v>10084</v>
      </c>
      <c r="I204" s="18">
        <v>5427</v>
      </c>
      <c r="J204" s="18"/>
      <c r="K204" s="18">
        <v>3369</v>
      </c>
      <c r="L204" s="19">
        <f t="shared" si="0"/>
        <v>323504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46118</v>
      </c>
      <c r="G205" s="18">
        <v>25065</v>
      </c>
      <c r="H205" s="18">
        <v>439</v>
      </c>
      <c r="I205" s="18">
        <v>3585</v>
      </c>
      <c r="J205" s="18">
        <v>100</v>
      </c>
      <c r="K205" s="18">
        <v>369</v>
      </c>
      <c r="L205" s="19">
        <f t="shared" si="0"/>
        <v>75676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165370+271</f>
        <v>165641</v>
      </c>
      <c r="G206" s="18">
        <f>93677+52</f>
        <v>93729</v>
      </c>
      <c r="H206" s="18">
        <f>146408+5560+9802</f>
        <v>161770</v>
      </c>
      <c r="I206" s="18">
        <f>104877+205</f>
        <v>105082</v>
      </c>
      <c r="J206" s="18">
        <v>73618</v>
      </c>
      <c r="K206" s="18"/>
      <c r="L206" s="19">
        <f t="shared" si="0"/>
        <v>599840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204628</v>
      </c>
      <c r="I207" s="18"/>
      <c r="J207" s="18">
        <v>2633</v>
      </c>
      <c r="K207" s="18"/>
      <c r="L207" s="19">
        <f t="shared" si="0"/>
        <v>207261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53591</v>
      </c>
      <c r="G208" s="18">
        <v>18413</v>
      </c>
      <c r="H208" s="18">
        <f>1065+2077+1693</f>
        <v>4835</v>
      </c>
      <c r="I208" s="18">
        <v>827</v>
      </c>
      <c r="J208" s="18">
        <v>6186</v>
      </c>
      <c r="K208" s="18">
        <v>1259</v>
      </c>
      <c r="L208" s="19">
        <f>SUM(F208:K208)</f>
        <v>85111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2400109</v>
      </c>
      <c r="G210" s="41">
        <f t="shared" si="1"/>
        <v>980438</v>
      </c>
      <c r="H210" s="41">
        <f t="shared" si="1"/>
        <v>569066</v>
      </c>
      <c r="I210" s="41">
        <f t="shared" si="1"/>
        <v>250777</v>
      </c>
      <c r="J210" s="41">
        <f t="shared" si="1"/>
        <v>107423</v>
      </c>
      <c r="K210" s="41">
        <f t="shared" si="1"/>
        <v>14982</v>
      </c>
      <c r="L210" s="41">
        <f t="shared" si="1"/>
        <v>4322795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1162855</v>
      </c>
      <c r="G214" s="18">
        <v>573479</v>
      </c>
      <c r="H214" s="18">
        <f>7714+2177</f>
        <v>9891</v>
      </c>
      <c r="I214" s="18">
        <v>73171</v>
      </c>
      <c r="J214" s="18">
        <v>15177</v>
      </c>
      <c r="K214" s="18">
        <v>1015</v>
      </c>
      <c r="L214" s="19">
        <f>SUM(F214:K214)</f>
        <v>1835588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325933</v>
      </c>
      <c r="G215" s="18">
        <v>107742</v>
      </c>
      <c r="H215" s="18">
        <f>1848+54+59930</f>
        <v>61832</v>
      </c>
      <c r="I215" s="18">
        <v>556</v>
      </c>
      <c r="J215" s="18">
        <v>297</v>
      </c>
      <c r="K215" s="18"/>
      <c r="L215" s="19">
        <f>SUM(F215:K215)</f>
        <v>496360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23609</v>
      </c>
      <c r="G217" s="18">
        <v>3391</v>
      </c>
      <c r="H217" s="18">
        <v>4881</v>
      </c>
      <c r="I217" s="18">
        <v>2301</v>
      </c>
      <c r="J217" s="18">
        <v>2480</v>
      </c>
      <c r="K217" s="18">
        <v>1050</v>
      </c>
      <c r="L217" s="19">
        <f>SUM(F217:K217)</f>
        <v>37712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151091</v>
      </c>
      <c r="G219" s="18">
        <v>77944</v>
      </c>
      <c r="H219" s="18">
        <f>37092+473</f>
        <v>37565</v>
      </c>
      <c r="I219" s="18">
        <v>1595</v>
      </c>
      <c r="J219" s="18">
        <v>2670</v>
      </c>
      <c r="K219" s="18">
        <v>388</v>
      </c>
      <c r="L219" s="19">
        <f t="shared" ref="L219:L225" si="2">SUM(F219:K219)</f>
        <v>271253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42935</v>
      </c>
      <c r="G220" s="18">
        <v>37281</v>
      </c>
      <c r="H220" s="18">
        <v>753</v>
      </c>
      <c r="I220" s="18">
        <v>6419</v>
      </c>
      <c r="J220" s="18">
        <v>2056</v>
      </c>
      <c r="K220" s="18"/>
      <c r="L220" s="19">
        <f t="shared" si="2"/>
        <v>89444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f>1846+108336</f>
        <v>110182</v>
      </c>
      <c r="G221" s="18">
        <f>135+40764</f>
        <v>40899</v>
      </c>
      <c r="H221" s="18">
        <f>21539+17431+14813</f>
        <v>53783</v>
      </c>
      <c r="I221" s="18">
        <f>52+825</f>
        <v>877</v>
      </c>
      <c r="J221" s="18">
        <v>624</v>
      </c>
      <c r="K221" s="18">
        <f>3707+1423</f>
        <v>5130</v>
      </c>
      <c r="L221" s="19">
        <f t="shared" si="2"/>
        <v>211495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195880</v>
      </c>
      <c r="G222" s="18">
        <v>75230</v>
      </c>
      <c r="H222" s="18">
        <f>374+7298</f>
        <v>7672</v>
      </c>
      <c r="I222" s="18">
        <v>2410</v>
      </c>
      <c r="J222" s="18"/>
      <c r="K222" s="18">
        <v>2656</v>
      </c>
      <c r="L222" s="19">
        <f t="shared" si="2"/>
        <v>283848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46118</v>
      </c>
      <c r="G223" s="18">
        <v>25065</v>
      </c>
      <c r="H223" s="18">
        <v>439</v>
      </c>
      <c r="I223" s="18">
        <v>3585</v>
      </c>
      <c r="J223" s="18">
        <v>100</v>
      </c>
      <c r="K223" s="18">
        <v>369</v>
      </c>
      <c r="L223" s="19">
        <f t="shared" si="2"/>
        <v>75676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f>114529+271</f>
        <v>114800</v>
      </c>
      <c r="G224" s="18">
        <f>73144+52</f>
        <v>73196</v>
      </c>
      <c r="H224" s="18">
        <f>74169+5560+9802</f>
        <v>89531</v>
      </c>
      <c r="I224" s="18">
        <f>103901+205</f>
        <v>104106</v>
      </c>
      <c r="J224" s="18">
        <v>4742</v>
      </c>
      <c r="K224" s="18"/>
      <c r="L224" s="19">
        <f t="shared" si="2"/>
        <v>386375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f>198262</f>
        <v>198262</v>
      </c>
      <c r="I225" s="18"/>
      <c r="J225" s="18">
        <v>2633</v>
      </c>
      <c r="K225" s="18"/>
      <c r="L225" s="19">
        <f t="shared" si="2"/>
        <v>200895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26533</v>
      </c>
      <c r="G226" s="18">
        <v>9145</v>
      </c>
      <c r="H226" s="18">
        <f>1065+1927</f>
        <v>2992</v>
      </c>
      <c r="I226" s="18">
        <v>436</v>
      </c>
      <c r="J226" s="18">
        <v>907</v>
      </c>
      <c r="K226" s="18">
        <v>3794</v>
      </c>
      <c r="L226" s="19">
        <f>SUM(F226:K226)</f>
        <v>43807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2199936</v>
      </c>
      <c r="G228" s="41">
        <f>SUM(G214:G227)</f>
        <v>1023372</v>
      </c>
      <c r="H228" s="41">
        <f>SUM(H214:H227)</f>
        <v>467601</v>
      </c>
      <c r="I228" s="41">
        <f>SUM(I214:I227)</f>
        <v>195456</v>
      </c>
      <c r="J228" s="41">
        <f>SUM(J214:J227)</f>
        <v>31686</v>
      </c>
      <c r="K228" s="41">
        <f t="shared" si="3"/>
        <v>14402</v>
      </c>
      <c r="L228" s="41">
        <f t="shared" si="3"/>
        <v>3932453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1337002</v>
      </c>
      <c r="G232" s="18">
        <v>591786</v>
      </c>
      <c r="H232" s="18">
        <f>3506+1064</f>
        <v>4570</v>
      </c>
      <c r="I232" s="18">
        <v>114151</v>
      </c>
      <c r="J232" s="18">
        <v>114724</v>
      </c>
      <c r="K232" s="18">
        <v>1840</v>
      </c>
      <c r="L232" s="19">
        <f>SUM(F232:K232)</f>
        <v>2164073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206985</v>
      </c>
      <c r="G233" s="18">
        <v>75934</v>
      </c>
      <c r="H233" s="18">
        <f>151+410950</f>
        <v>411101</v>
      </c>
      <c r="I233" s="18">
        <v>864</v>
      </c>
      <c r="J233" s="18">
        <v>806</v>
      </c>
      <c r="K233" s="18">
        <v>4000</v>
      </c>
      <c r="L233" s="19">
        <f>SUM(F233:K233)</f>
        <v>699690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111214</v>
      </c>
      <c r="G234" s="18">
        <v>27252</v>
      </c>
      <c r="H234" s="18">
        <v>10903</v>
      </c>
      <c r="I234" s="18">
        <v>8610</v>
      </c>
      <c r="J234" s="18">
        <v>12771</v>
      </c>
      <c r="K234" s="18">
        <v>3308</v>
      </c>
      <c r="L234" s="19">
        <f>SUM(F234:K234)</f>
        <v>174058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77512</v>
      </c>
      <c r="G235" s="18">
        <v>8993</v>
      </c>
      <c r="H235" s="18">
        <f>5735+20054</f>
        <v>25789</v>
      </c>
      <c r="I235" s="18">
        <v>7016</v>
      </c>
      <c r="J235" s="18">
        <v>23342</v>
      </c>
      <c r="K235" s="18">
        <v>8758</v>
      </c>
      <c r="L235" s="19">
        <f>SUM(F235:K235)</f>
        <v>151410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202492</v>
      </c>
      <c r="G237" s="18">
        <v>78015</v>
      </c>
      <c r="H237" s="18">
        <f>50374+7889</f>
        <v>58263</v>
      </c>
      <c r="I237" s="18">
        <v>5558</v>
      </c>
      <c r="J237" s="18">
        <v>4692</v>
      </c>
      <c r="K237" s="18">
        <v>1122</v>
      </c>
      <c r="L237" s="19">
        <f t="shared" ref="L237:L243" si="4">SUM(F237:K237)</f>
        <v>350142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42108</v>
      </c>
      <c r="G238" s="18">
        <v>39639</v>
      </c>
      <c r="H238" s="18">
        <v>845</v>
      </c>
      <c r="I238" s="18">
        <v>11597</v>
      </c>
      <c r="J238" s="18">
        <v>5374</v>
      </c>
      <c r="K238" s="18"/>
      <c r="L238" s="19">
        <f t="shared" si="4"/>
        <v>99563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f>1849+108336</f>
        <v>110185</v>
      </c>
      <c r="G239" s="18">
        <f>135+40764</f>
        <v>40899</v>
      </c>
      <c r="H239" s="18">
        <f>24576+17790+14813</f>
        <v>57179</v>
      </c>
      <c r="I239" s="18">
        <f>53+825</f>
        <v>878</v>
      </c>
      <c r="J239" s="18">
        <v>624</v>
      </c>
      <c r="K239" s="18">
        <f>4107+1423</f>
        <v>5530</v>
      </c>
      <c r="L239" s="19">
        <f t="shared" si="4"/>
        <v>215295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234579</v>
      </c>
      <c r="G240" s="18">
        <v>81539</v>
      </c>
      <c r="H240" s="18">
        <f>14313+14530</f>
        <v>28843</v>
      </c>
      <c r="I240" s="18">
        <f>5983</f>
        <v>5983</v>
      </c>
      <c r="J240" s="18">
        <v>5406</v>
      </c>
      <c r="K240" s="18">
        <v>15804</v>
      </c>
      <c r="L240" s="19">
        <f t="shared" si="4"/>
        <v>372154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46118</v>
      </c>
      <c r="G241" s="18">
        <v>25065</v>
      </c>
      <c r="H241" s="18">
        <v>439</v>
      </c>
      <c r="I241" s="18">
        <v>3585</v>
      </c>
      <c r="J241" s="18">
        <v>100</v>
      </c>
      <c r="K241" s="18">
        <v>369</v>
      </c>
      <c r="L241" s="19">
        <f t="shared" si="4"/>
        <v>75676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f>136005+271</f>
        <v>136276</v>
      </c>
      <c r="G242" s="18">
        <f>73197+52</f>
        <v>73249</v>
      </c>
      <c r="H242" s="18">
        <f>101831+5592+9802</f>
        <v>117225</v>
      </c>
      <c r="I242" s="18">
        <f>147677+205</f>
        <v>147882</v>
      </c>
      <c r="J242" s="18">
        <v>56066</v>
      </c>
      <c r="K242" s="18"/>
      <c r="L242" s="19">
        <f t="shared" si="4"/>
        <v>530698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338352</v>
      </c>
      <c r="I243" s="18"/>
      <c r="J243" s="18">
        <v>2713</v>
      </c>
      <c r="K243" s="18"/>
      <c r="L243" s="19">
        <f t="shared" si="4"/>
        <v>341065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26457</v>
      </c>
      <c r="G244" s="18">
        <v>9145</v>
      </c>
      <c r="H244" s="18">
        <f>2365+1860</f>
        <v>4225</v>
      </c>
      <c r="I244" s="18">
        <v>704</v>
      </c>
      <c r="J244" s="18">
        <v>-23414</v>
      </c>
      <c r="K244" s="18">
        <v>1998</v>
      </c>
      <c r="L244" s="19">
        <f>SUM(F244:K244)</f>
        <v>19115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2530928</v>
      </c>
      <c r="G246" s="41">
        <f t="shared" si="5"/>
        <v>1051516</v>
      </c>
      <c r="H246" s="41">
        <f t="shared" si="5"/>
        <v>1057734</v>
      </c>
      <c r="I246" s="41">
        <f t="shared" si="5"/>
        <v>306828</v>
      </c>
      <c r="J246" s="41">
        <f t="shared" si="5"/>
        <v>203204</v>
      </c>
      <c r="K246" s="41">
        <f t="shared" si="5"/>
        <v>42729</v>
      </c>
      <c r="L246" s="41">
        <f t="shared" si="5"/>
        <v>5192939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7130973</v>
      </c>
      <c r="G256" s="41">
        <f t="shared" si="8"/>
        <v>3055326</v>
      </c>
      <c r="H256" s="41">
        <f t="shared" si="8"/>
        <v>2094401</v>
      </c>
      <c r="I256" s="41">
        <f t="shared" si="8"/>
        <v>753061</v>
      </c>
      <c r="J256" s="41">
        <f t="shared" si="8"/>
        <v>342313</v>
      </c>
      <c r="K256" s="41">
        <f t="shared" si="8"/>
        <v>72113</v>
      </c>
      <c r="L256" s="41">
        <f t="shared" si="8"/>
        <v>13448187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1483315</v>
      </c>
      <c r="L259" s="19">
        <f>SUM(F259:K259)</f>
        <v>1483315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1233321</v>
      </c>
      <c r="L260" s="19">
        <f>SUM(F260:K260)</f>
        <v>1233321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22274</v>
      </c>
      <c r="L262" s="19">
        <f>SUM(F262:K262)</f>
        <v>22274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2738910</v>
      </c>
      <c r="L269" s="41">
        <f t="shared" si="9"/>
        <v>2738910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7130973</v>
      </c>
      <c r="G270" s="42">
        <f t="shared" si="11"/>
        <v>3055326</v>
      </c>
      <c r="H270" s="42">
        <f t="shared" si="11"/>
        <v>2094401</v>
      </c>
      <c r="I270" s="42">
        <f t="shared" si="11"/>
        <v>753061</v>
      </c>
      <c r="J270" s="42">
        <f t="shared" si="11"/>
        <v>342313</v>
      </c>
      <c r="K270" s="42">
        <f t="shared" si="11"/>
        <v>2811023</v>
      </c>
      <c r="L270" s="42">
        <f t="shared" si="11"/>
        <v>16187097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85134</v>
      </c>
      <c r="G275" s="18">
        <v>14739</v>
      </c>
      <c r="H275" s="18">
        <v>1689</v>
      </c>
      <c r="I275" s="18">
        <v>1771</v>
      </c>
      <c r="J275" s="18">
        <v>3069</v>
      </c>
      <c r="K275" s="18">
        <v>861</v>
      </c>
      <c r="L275" s="19">
        <f>SUM(F275:K275)</f>
        <v>107263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20600</v>
      </c>
      <c r="G276" s="18">
        <v>9304</v>
      </c>
      <c r="H276" s="18">
        <v>991</v>
      </c>
      <c r="I276" s="18"/>
      <c r="J276" s="18">
        <v>12904</v>
      </c>
      <c r="K276" s="18"/>
      <c r="L276" s="19">
        <f>SUM(F276:K276)</f>
        <v>43799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2533</v>
      </c>
      <c r="G280" s="18">
        <v>456</v>
      </c>
      <c r="H280" s="18">
        <v>52915</v>
      </c>
      <c r="I280" s="18">
        <v>2965</v>
      </c>
      <c r="J280" s="18">
        <v>9944</v>
      </c>
      <c r="K280" s="18"/>
      <c r="L280" s="19">
        <f t="shared" ref="L280:L286" si="12">SUM(F280:K280)</f>
        <v>68813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3000</v>
      </c>
      <c r="G281" s="18">
        <v>3228</v>
      </c>
      <c r="H281" s="18">
        <v>14295</v>
      </c>
      <c r="I281" s="18">
        <v>292</v>
      </c>
      <c r="J281" s="18"/>
      <c r="K281" s="18"/>
      <c r="L281" s="19">
        <f t="shared" si="12"/>
        <v>20815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21172</v>
      </c>
      <c r="G282" s="18">
        <v>4539</v>
      </c>
      <c r="H282" s="18">
        <v>4194</v>
      </c>
      <c r="I282" s="18">
        <v>1719</v>
      </c>
      <c r="J282" s="18">
        <v>2750</v>
      </c>
      <c r="K282" s="18"/>
      <c r="L282" s="19">
        <f t="shared" si="12"/>
        <v>34374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v>195</v>
      </c>
      <c r="I286" s="18"/>
      <c r="J286" s="18"/>
      <c r="K286" s="18"/>
      <c r="L286" s="19">
        <f t="shared" si="12"/>
        <v>195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132439</v>
      </c>
      <c r="G289" s="42">
        <f t="shared" si="13"/>
        <v>32266</v>
      </c>
      <c r="H289" s="42">
        <f t="shared" si="13"/>
        <v>74279</v>
      </c>
      <c r="I289" s="42">
        <f t="shared" si="13"/>
        <v>6747</v>
      </c>
      <c r="J289" s="42">
        <f t="shared" si="13"/>
        <v>28667</v>
      </c>
      <c r="K289" s="42">
        <f t="shared" si="13"/>
        <v>861</v>
      </c>
      <c r="L289" s="41">
        <f t="shared" si="13"/>
        <v>275259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85133</v>
      </c>
      <c r="G294" s="18">
        <v>14739</v>
      </c>
      <c r="H294" s="18">
        <v>1689</v>
      </c>
      <c r="I294" s="18">
        <f>1771+15</f>
        <v>1786</v>
      </c>
      <c r="J294" s="18">
        <v>3069</v>
      </c>
      <c r="K294" s="18">
        <v>861</v>
      </c>
      <c r="L294" s="19">
        <f>SUM(F294:K294)</f>
        <v>107277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20600</v>
      </c>
      <c r="G295" s="18">
        <v>9304</v>
      </c>
      <c r="H295" s="18">
        <v>991</v>
      </c>
      <c r="I295" s="18"/>
      <c r="J295" s="18">
        <v>12904</v>
      </c>
      <c r="K295" s="18"/>
      <c r="L295" s="19">
        <f>SUM(F295:K295)</f>
        <v>43799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2533</v>
      </c>
      <c r="G299" s="18">
        <v>456</v>
      </c>
      <c r="H299" s="18">
        <v>52915</v>
      </c>
      <c r="I299" s="18">
        <v>2965</v>
      </c>
      <c r="J299" s="18">
        <v>9944</v>
      </c>
      <c r="K299" s="18"/>
      <c r="L299" s="19">
        <f t="shared" ref="L299:L305" si="14">SUM(F299:K299)</f>
        <v>68813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3000</v>
      </c>
      <c r="G300" s="18">
        <v>3228</v>
      </c>
      <c r="H300" s="18">
        <v>14295</v>
      </c>
      <c r="I300" s="18">
        <v>292</v>
      </c>
      <c r="J300" s="18"/>
      <c r="K300" s="18"/>
      <c r="L300" s="19">
        <f t="shared" si="14"/>
        <v>20815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>
        <v>21172</v>
      </c>
      <c r="G301" s="18">
        <v>4539</v>
      </c>
      <c r="H301" s="18">
        <v>4194</v>
      </c>
      <c r="I301" s="18">
        <v>1719</v>
      </c>
      <c r="J301" s="18">
        <v>2750</v>
      </c>
      <c r="K301" s="18"/>
      <c r="L301" s="19">
        <f t="shared" si="14"/>
        <v>34374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>
        <f>195+3956</f>
        <v>4151</v>
      </c>
      <c r="I305" s="18"/>
      <c r="J305" s="18"/>
      <c r="K305" s="18"/>
      <c r="L305" s="19">
        <f t="shared" si="14"/>
        <v>4151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132438</v>
      </c>
      <c r="G308" s="42">
        <f t="shared" si="15"/>
        <v>32266</v>
      </c>
      <c r="H308" s="42">
        <f t="shared" si="15"/>
        <v>78235</v>
      </c>
      <c r="I308" s="42">
        <f t="shared" si="15"/>
        <v>6762</v>
      </c>
      <c r="J308" s="42">
        <f t="shared" si="15"/>
        <v>28667</v>
      </c>
      <c r="K308" s="42">
        <f t="shared" si="15"/>
        <v>861</v>
      </c>
      <c r="L308" s="41">
        <f t="shared" si="15"/>
        <v>279229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1833</v>
      </c>
      <c r="G313" s="18">
        <v>346</v>
      </c>
      <c r="H313" s="18">
        <v>285</v>
      </c>
      <c r="I313" s="18"/>
      <c r="J313" s="18">
        <v>3069</v>
      </c>
      <c r="K313" s="18"/>
      <c r="L313" s="19">
        <f>SUM(F313:K313)</f>
        <v>5533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20600</v>
      </c>
      <c r="G314" s="18">
        <v>9304</v>
      </c>
      <c r="H314" s="18">
        <v>991</v>
      </c>
      <c r="I314" s="18"/>
      <c r="J314" s="18">
        <v>12904</v>
      </c>
      <c r="K314" s="18"/>
      <c r="L314" s="19">
        <f>SUM(F314:K314)</f>
        <v>43799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2533</v>
      </c>
      <c r="G318" s="18">
        <v>456</v>
      </c>
      <c r="H318" s="18">
        <v>52915</v>
      </c>
      <c r="I318" s="18">
        <v>1889</v>
      </c>
      <c r="J318" s="18">
        <v>9944</v>
      </c>
      <c r="K318" s="18"/>
      <c r="L318" s="19">
        <f t="shared" ref="L318:L324" si="16">SUM(F318:K318)</f>
        <v>67737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3000</v>
      </c>
      <c r="G319" s="18">
        <v>742</v>
      </c>
      <c r="H319" s="18">
        <v>14295</v>
      </c>
      <c r="I319" s="18">
        <v>292</v>
      </c>
      <c r="J319" s="18"/>
      <c r="K319" s="18"/>
      <c r="L319" s="19">
        <f t="shared" si="16"/>
        <v>18329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27966</v>
      </c>
      <c r="G327" s="42">
        <f t="shared" si="17"/>
        <v>10848</v>
      </c>
      <c r="H327" s="42">
        <f t="shared" si="17"/>
        <v>68486</v>
      </c>
      <c r="I327" s="42">
        <f t="shared" si="17"/>
        <v>2181</v>
      </c>
      <c r="J327" s="42">
        <f t="shared" si="17"/>
        <v>25917</v>
      </c>
      <c r="K327" s="42">
        <f t="shared" si="17"/>
        <v>0</v>
      </c>
      <c r="L327" s="41">
        <f t="shared" si="17"/>
        <v>135398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292843</v>
      </c>
      <c r="G337" s="41">
        <f t="shared" si="20"/>
        <v>75380</v>
      </c>
      <c r="H337" s="41">
        <f t="shared" si="20"/>
        <v>221000</v>
      </c>
      <c r="I337" s="41">
        <f t="shared" si="20"/>
        <v>15690</v>
      </c>
      <c r="J337" s="41">
        <f t="shared" si="20"/>
        <v>83251</v>
      </c>
      <c r="K337" s="41">
        <f t="shared" si="20"/>
        <v>1722</v>
      </c>
      <c r="L337" s="41">
        <f t="shared" si="20"/>
        <v>689886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292843</v>
      </c>
      <c r="G351" s="41">
        <f>G337</f>
        <v>75380</v>
      </c>
      <c r="H351" s="41">
        <f>H337</f>
        <v>221000</v>
      </c>
      <c r="I351" s="41">
        <f>I337</f>
        <v>15690</v>
      </c>
      <c r="J351" s="41">
        <f>J337</f>
        <v>83251</v>
      </c>
      <c r="K351" s="47">
        <f>K337+K350</f>
        <v>1722</v>
      </c>
      <c r="L351" s="41">
        <f>L337+L350</f>
        <v>689886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>
        <f>4079+128053</f>
        <v>132132</v>
      </c>
      <c r="I357" s="18">
        <f>1853+11849</f>
        <v>13702</v>
      </c>
      <c r="J357" s="18">
        <v>1649</v>
      </c>
      <c r="K357" s="18"/>
      <c r="L357" s="13">
        <f>SUM(F357:K357)</f>
        <v>147483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>
        <v>132132</v>
      </c>
      <c r="I358" s="18">
        <f>1853+12257</f>
        <v>14110</v>
      </c>
      <c r="J358" s="18">
        <v>1649</v>
      </c>
      <c r="K358" s="18"/>
      <c r="L358" s="19">
        <f>SUM(F358:K358)</f>
        <v>147891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>
        <v>132132</v>
      </c>
      <c r="I359" s="18">
        <v>1853</v>
      </c>
      <c r="J359" s="18">
        <v>1649</v>
      </c>
      <c r="K359" s="18"/>
      <c r="L359" s="19">
        <f>SUM(F359:K359)</f>
        <v>135634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396396</v>
      </c>
      <c r="I361" s="47">
        <f t="shared" si="22"/>
        <v>29665</v>
      </c>
      <c r="J361" s="47">
        <f t="shared" si="22"/>
        <v>4947</v>
      </c>
      <c r="K361" s="47">
        <f t="shared" si="22"/>
        <v>0</v>
      </c>
      <c r="L361" s="47">
        <f t="shared" si="22"/>
        <v>431008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11849</v>
      </c>
      <c r="G366" s="18">
        <v>12257</v>
      </c>
      <c r="H366" s="18"/>
      <c r="I366" s="56">
        <f>SUM(F366:H366)</f>
        <v>24106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1853</v>
      </c>
      <c r="G367" s="63">
        <v>1853</v>
      </c>
      <c r="H367" s="63">
        <v>1853</v>
      </c>
      <c r="I367" s="56">
        <f>SUM(F367:H367)</f>
        <v>5559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13702</v>
      </c>
      <c r="G368" s="47">
        <f>SUM(G366:G367)</f>
        <v>14110</v>
      </c>
      <c r="H368" s="47">
        <f>SUM(H366:H367)</f>
        <v>1853</v>
      </c>
      <c r="I368" s="47">
        <f>SUM(I366:I367)</f>
        <v>29665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>
        <v>22500</v>
      </c>
      <c r="G377" s="18">
        <v>3774</v>
      </c>
      <c r="H377" s="18"/>
      <c r="I377" s="18"/>
      <c r="J377" s="18">
        <v>8048104</v>
      </c>
      <c r="K377" s="18"/>
      <c r="L377" s="13">
        <f t="shared" si="23"/>
        <v>8074378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22500</v>
      </c>
      <c r="G381" s="139">
        <f t="shared" ref="G381:L381" si="24">SUM(G373:G380)</f>
        <v>3774</v>
      </c>
      <c r="H381" s="139">
        <f t="shared" si="24"/>
        <v>0</v>
      </c>
      <c r="I381" s="41">
        <f t="shared" si="24"/>
        <v>0</v>
      </c>
      <c r="J381" s="47">
        <f t="shared" si="24"/>
        <v>8048104</v>
      </c>
      <c r="K381" s="47">
        <f t="shared" si="24"/>
        <v>0</v>
      </c>
      <c r="L381" s="47">
        <f t="shared" si="24"/>
        <v>8074378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697</v>
      </c>
      <c r="I395" s="18"/>
      <c r="J395" s="24" t="s">
        <v>289</v>
      </c>
      <c r="K395" s="24" t="s">
        <v>289</v>
      </c>
      <c r="L395" s="56">
        <f t="shared" si="26"/>
        <v>697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0</v>
      </c>
      <c r="H396" s="18">
        <v>75</v>
      </c>
      <c r="I396" s="18"/>
      <c r="J396" s="24" t="s">
        <v>289</v>
      </c>
      <c r="K396" s="24" t="s">
        <v>289</v>
      </c>
      <c r="L396" s="56">
        <f t="shared" si="26"/>
        <v>75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772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772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772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772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f>140710-50000</f>
        <v>90710</v>
      </c>
      <c r="G439" s="18"/>
      <c r="H439" s="18"/>
      <c r="I439" s="56">
        <f t="shared" si="33"/>
        <v>90710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90710</v>
      </c>
      <c r="G445" s="13">
        <f>SUM(G438:G444)</f>
        <v>0</v>
      </c>
      <c r="H445" s="13">
        <f>SUM(H438:H444)</f>
        <v>0</v>
      </c>
      <c r="I445" s="13">
        <f>SUM(I438:I444)</f>
        <v>90710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f>140710-50000</f>
        <v>90710</v>
      </c>
      <c r="G458" s="18"/>
      <c r="H458" s="18"/>
      <c r="I458" s="56">
        <f t="shared" si="34"/>
        <v>90710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90710</v>
      </c>
      <c r="G459" s="83">
        <f>SUM(G453:G458)</f>
        <v>0</v>
      </c>
      <c r="H459" s="83">
        <f>SUM(H453:H458)</f>
        <v>0</v>
      </c>
      <c r="I459" s="83">
        <f>SUM(I453:I458)</f>
        <v>90710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90710</v>
      </c>
      <c r="G460" s="42">
        <f>G451+G459</f>
        <v>0</v>
      </c>
      <c r="H460" s="42">
        <f>H451+H459</f>
        <v>0</v>
      </c>
      <c r="I460" s="42">
        <f>I451+I459</f>
        <v>90710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795941</v>
      </c>
      <c r="G464" s="18">
        <v>16328</v>
      </c>
      <c r="H464" s="18">
        <v>6797</v>
      </c>
      <c r="I464" s="18">
        <v>8308560</v>
      </c>
      <c r="J464" s="18">
        <v>89938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16564879</v>
      </c>
      <c r="G467" s="18">
        <v>431008</v>
      </c>
      <c r="H467" s="18">
        <f>697839</f>
        <v>697839</v>
      </c>
      <c r="I467" s="18">
        <v>1140</v>
      </c>
      <c r="J467" s="18">
        <v>772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>
        <v>3122</v>
      </c>
      <c r="G468" s="18">
        <v>1253</v>
      </c>
      <c r="H468" s="18">
        <v>-4</v>
      </c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16568001</v>
      </c>
      <c r="G469" s="53">
        <f>SUM(G467:G468)</f>
        <v>432261</v>
      </c>
      <c r="H469" s="53">
        <f>SUM(H467:H468)</f>
        <v>697835</v>
      </c>
      <c r="I469" s="53">
        <f>SUM(I467:I468)</f>
        <v>1140</v>
      </c>
      <c r="J469" s="53">
        <f>SUM(J467:J468)</f>
        <v>772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16237097-50000</f>
        <v>16187097</v>
      </c>
      <c r="G471" s="18">
        <v>431008</v>
      </c>
      <c r="H471" s="18">
        <v>689886</v>
      </c>
      <c r="I471" s="18">
        <v>8074378</v>
      </c>
      <c r="J471" s="18"/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v>-2</v>
      </c>
      <c r="G472" s="18"/>
      <c r="H472" s="18">
        <f>4607+802</f>
        <v>5409</v>
      </c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16187095</v>
      </c>
      <c r="G473" s="53">
        <f>SUM(G471:G472)</f>
        <v>431008</v>
      </c>
      <c r="H473" s="53">
        <f>SUM(H471:H472)</f>
        <v>695295</v>
      </c>
      <c r="I473" s="53">
        <f>SUM(I471:I472)</f>
        <v>8074378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1176847</v>
      </c>
      <c r="G475" s="53">
        <f>(G464+G469)- G473</f>
        <v>17581</v>
      </c>
      <c r="H475" s="53">
        <f>(H464+H469)- H473</f>
        <v>9337</v>
      </c>
      <c r="I475" s="53">
        <f>(I464+I469)- I473</f>
        <v>235322</v>
      </c>
      <c r="J475" s="53">
        <f>(J464+J469)- J473</f>
        <v>90710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271" t="s">
        <v>911</v>
      </c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 t="s">
        <v>913</v>
      </c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 t="s">
        <v>912</v>
      </c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16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23623315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5.39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23623315</v>
      </c>
      <c r="G494" s="18"/>
      <c r="H494" s="18"/>
      <c r="I494" s="18"/>
      <c r="J494" s="18"/>
      <c r="K494" s="53">
        <f>SUM(F494:J494)</f>
        <v>23623315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22140000</v>
      </c>
      <c r="G497" s="205"/>
      <c r="H497" s="205"/>
      <c r="I497" s="205"/>
      <c r="J497" s="205"/>
      <c r="K497" s="206">
        <f t="shared" si="35"/>
        <v>22140000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8945244</v>
      </c>
      <c r="G498" s="18"/>
      <c r="H498" s="18"/>
      <c r="I498" s="18"/>
      <c r="J498" s="18"/>
      <c r="K498" s="53">
        <f t="shared" si="35"/>
        <v>8945244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31085244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31085244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1480000</v>
      </c>
      <c r="G500" s="205"/>
      <c r="H500" s="205"/>
      <c r="I500" s="205"/>
      <c r="J500" s="205"/>
      <c r="K500" s="206">
        <f t="shared" si="35"/>
        <v>1480000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f>596673+556787</f>
        <v>1153460</v>
      </c>
      <c r="G501" s="18"/>
      <c r="H501" s="18"/>
      <c r="I501" s="18"/>
      <c r="J501" s="18"/>
      <c r="K501" s="53">
        <f t="shared" si="35"/>
        <v>1153460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2633460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2633460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266155+1323+20600</f>
        <v>288078</v>
      </c>
      <c r="G520" s="18">
        <f>66459+221+9304</f>
        <v>75984</v>
      </c>
      <c r="H520" s="18">
        <f>47152+467+12300+524</f>
        <v>60443</v>
      </c>
      <c r="I520" s="18">
        <f>6504</f>
        <v>6504</v>
      </c>
      <c r="J520" s="18">
        <f>779+2502</f>
        <v>3281</v>
      </c>
      <c r="K520" s="18"/>
      <c r="L520" s="88">
        <f>SUM(F520:K520)</f>
        <v>434290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>325933+20600</f>
        <v>346533</v>
      </c>
      <c r="G521" s="18">
        <f>107742+9303</f>
        <v>117045</v>
      </c>
      <c r="H521" s="18">
        <f>55+59930+467+524</f>
        <v>60976</v>
      </c>
      <c r="I521" s="18">
        <v>556</v>
      </c>
      <c r="J521" s="18">
        <f>297+2502</f>
        <v>2799</v>
      </c>
      <c r="K521" s="18"/>
      <c r="L521" s="88">
        <f>SUM(F521:K521)</f>
        <v>527909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206985+20600</f>
        <v>227585</v>
      </c>
      <c r="G522" s="18">
        <f>75934+9304</f>
        <v>85238</v>
      </c>
      <c r="H522" s="18">
        <f>151+410950+467+524</f>
        <v>412092</v>
      </c>
      <c r="I522" s="18">
        <v>864</v>
      </c>
      <c r="J522" s="18">
        <f>806+2502+31205</f>
        <v>34513</v>
      </c>
      <c r="K522" s="18">
        <v>4000</v>
      </c>
      <c r="L522" s="88">
        <f>SUM(F522:K522)</f>
        <v>764292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862196</v>
      </c>
      <c r="G523" s="108">
        <f t="shared" ref="G523:L523" si="36">SUM(G520:G522)</f>
        <v>278267</v>
      </c>
      <c r="H523" s="108">
        <f t="shared" si="36"/>
        <v>533511</v>
      </c>
      <c r="I523" s="108">
        <f t="shared" si="36"/>
        <v>7924</v>
      </c>
      <c r="J523" s="108">
        <f t="shared" si="36"/>
        <v>40593</v>
      </c>
      <c r="K523" s="108">
        <f t="shared" si="36"/>
        <v>4000</v>
      </c>
      <c r="L523" s="89">
        <f t="shared" si="36"/>
        <v>1726491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937+46348</f>
        <v>47285</v>
      </c>
      <c r="G525" s="18">
        <f>136+12870</f>
        <v>13006</v>
      </c>
      <c r="H525" s="18">
        <f>55147+1938+52915</f>
        <v>110000</v>
      </c>
      <c r="I525" s="18">
        <v>101</v>
      </c>
      <c r="J525" s="18">
        <f>44+29831</f>
        <v>29875</v>
      </c>
      <c r="K525" s="18"/>
      <c r="L525" s="88">
        <f>SUM(F525:K525)</f>
        <v>200267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f>937+23477</f>
        <v>24414</v>
      </c>
      <c r="G526" s="18">
        <f>135+10721</f>
        <v>10856</v>
      </c>
      <c r="H526" s="18">
        <f>35794+52915</f>
        <v>88709</v>
      </c>
      <c r="I526" s="18">
        <v>101</v>
      </c>
      <c r="J526" s="18">
        <v>45</v>
      </c>
      <c r="K526" s="18"/>
      <c r="L526" s="88">
        <f>SUM(F526:K526)</f>
        <v>124125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f>938+23477</f>
        <v>24415</v>
      </c>
      <c r="G527" s="18">
        <f>135+10720</f>
        <v>10855</v>
      </c>
      <c r="H527" s="18">
        <f>45474+52915</f>
        <v>98389</v>
      </c>
      <c r="I527" s="18">
        <v>102</v>
      </c>
      <c r="J527" s="18">
        <v>45</v>
      </c>
      <c r="K527" s="18"/>
      <c r="L527" s="88">
        <f>SUM(F527:K527)</f>
        <v>133806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96114</v>
      </c>
      <c r="G528" s="89">
        <f t="shared" ref="G528:L528" si="37">SUM(G525:G527)</f>
        <v>34717</v>
      </c>
      <c r="H528" s="89">
        <f t="shared" si="37"/>
        <v>297098</v>
      </c>
      <c r="I528" s="89">
        <f t="shared" si="37"/>
        <v>304</v>
      </c>
      <c r="J528" s="89">
        <f t="shared" si="37"/>
        <v>29965</v>
      </c>
      <c r="K528" s="89">
        <f t="shared" si="37"/>
        <v>0</v>
      </c>
      <c r="L528" s="89">
        <f t="shared" si="37"/>
        <v>458198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48701</v>
      </c>
      <c r="G530" s="18">
        <v>21537</v>
      </c>
      <c r="H530" s="18">
        <f>9195+0</f>
        <v>9195</v>
      </c>
      <c r="I530" s="18">
        <v>442</v>
      </c>
      <c r="J530" s="18">
        <v>-24</v>
      </c>
      <c r="K530" s="18">
        <v>607</v>
      </c>
      <c r="L530" s="88">
        <f>SUM(F530:K530)</f>
        <v>80458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48701</v>
      </c>
      <c r="G531" s="18">
        <v>21537</v>
      </c>
      <c r="H531" s="18">
        <f>9195</f>
        <v>9195</v>
      </c>
      <c r="I531" s="18">
        <v>442</v>
      </c>
      <c r="J531" s="18">
        <v>-24</v>
      </c>
      <c r="K531" s="18">
        <v>607</v>
      </c>
      <c r="L531" s="88">
        <f>SUM(F531:K531)</f>
        <v>80458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48701</v>
      </c>
      <c r="G532" s="18">
        <v>21537</v>
      </c>
      <c r="H532" s="18">
        <v>9195</v>
      </c>
      <c r="I532" s="18">
        <v>443</v>
      </c>
      <c r="J532" s="18">
        <v>-25</v>
      </c>
      <c r="K532" s="18">
        <v>608</v>
      </c>
      <c r="L532" s="88">
        <f>SUM(F532:K532)</f>
        <v>80459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146103</v>
      </c>
      <c r="G533" s="89">
        <f t="shared" ref="G533:L533" si="38">SUM(G530:G532)</f>
        <v>64611</v>
      </c>
      <c r="H533" s="89">
        <f t="shared" si="38"/>
        <v>27585</v>
      </c>
      <c r="I533" s="89">
        <f t="shared" si="38"/>
        <v>1327</v>
      </c>
      <c r="J533" s="89">
        <f t="shared" si="38"/>
        <v>-73</v>
      </c>
      <c r="K533" s="89">
        <f t="shared" si="38"/>
        <v>1822</v>
      </c>
      <c r="L533" s="89">
        <f t="shared" si="38"/>
        <v>241375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1145</v>
      </c>
      <c r="I536" s="18"/>
      <c r="J536" s="18"/>
      <c r="K536" s="18"/>
      <c r="L536" s="88">
        <f>SUM(F536:K536)</f>
        <v>1145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1145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1145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f>53603+21556</f>
        <v>75159</v>
      </c>
      <c r="I540" s="18"/>
      <c r="J540" s="18"/>
      <c r="K540" s="18"/>
      <c r="L540" s="88">
        <f>SUM(F540:K540)</f>
        <v>75159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54848</v>
      </c>
      <c r="I541" s="18"/>
      <c r="J541" s="18"/>
      <c r="K541" s="18"/>
      <c r="L541" s="88">
        <f>SUM(F541:K541)</f>
        <v>54848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139653</v>
      </c>
      <c r="I542" s="18"/>
      <c r="J542" s="18"/>
      <c r="K542" s="18"/>
      <c r="L542" s="88">
        <f>SUM(F542:K542)</f>
        <v>139653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269660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269660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1104413</v>
      </c>
      <c r="G544" s="89">
        <f t="shared" ref="G544:L544" si="41">G523+G528+G533+G538+G543</f>
        <v>377595</v>
      </c>
      <c r="H544" s="89">
        <f t="shared" si="41"/>
        <v>1128999</v>
      </c>
      <c r="I544" s="89">
        <f t="shared" si="41"/>
        <v>9555</v>
      </c>
      <c r="J544" s="89">
        <f t="shared" si="41"/>
        <v>70485</v>
      </c>
      <c r="K544" s="89">
        <f t="shared" si="41"/>
        <v>5822</v>
      </c>
      <c r="L544" s="89">
        <f t="shared" si="41"/>
        <v>2696869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434290</v>
      </c>
      <c r="G548" s="87">
        <f>L525</f>
        <v>200267</v>
      </c>
      <c r="H548" s="87">
        <f>L530</f>
        <v>80458</v>
      </c>
      <c r="I548" s="87">
        <f>L535</f>
        <v>0</v>
      </c>
      <c r="J548" s="87">
        <f>L540</f>
        <v>75159</v>
      </c>
      <c r="K548" s="87">
        <f>SUM(F548:J548)</f>
        <v>790174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527909</v>
      </c>
      <c r="G549" s="87">
        <f>L526</f>
        <v>124125</v>
      </c>
      <c r="H549" s="87">
        <f>L531</f>
        <v>80458</v>
      </c>
      <c r="I549" s="87">
        <f>L536</f>
        <v>1145</v>
      </c>
      <c r="J549" s="87">
        <f>L541</f>
        <v>54848</v>
      </c>
      <c r="K549" s="87">
        <f>SUM(F549:J549)</f>
        <v>788485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764292</v>
      </c>
      <c r="G550" s="87">
        <f>L527</f>
        <v>133806</v>
      </c>
      <c r="H550" s="87">
        <f>L532</f>
        <v>80459</v>
      </c>
      <c r="I550" s="87">
        <f>L537</f>
        <v>0</v>
      </c>
      <c r="J550" s="87">
        <f>L542</f>
        <v>139653</v>
      </c>
      <c r="K550" s="87">
        <f>SUM(F550:J550)</f>
        <v>1118210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1726491</v>
      </c>
      <c r="G551" s="89">
        <f t="shared" si="42"/>
        <v>458198</v>
      </c>
      <c r="H551" s="89">
        <f t="shared" si="42"/>
        <v>241375</v>
      </c>
      <c r="I551" s="89">
        <f t="shared" si="42"/>
        <v>1145</v>
      </c>
      <c r="J551" s="89">
        <f t="shared" si="42"/>
        <v>269660</v>
      </c>
      <c r="K551" s="89">
        <f t="shared" si="42"/>
        <v>2696869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>
        <v>1568</v>
      </c>
      <c r="I561" s="18"/>
      <c r="J561" s="18"/>
      <c r="K561" s="18"/>
      <c r="L561" s="88">
        <f>SUM(F561:K561)</f>
        <v>1568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>
        <v>1848</v>
      </c>
      <c r="I562" s="18"/>
      <c r="J562" s="18"/>
      <c r="K562" s="18"/>
      <c r="L562" s="88">
        <f>SUM(F562:K562)</f>
        <v>1848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3416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3416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3416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3416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12300</v>
      </c>
      <c r="G574" s="18"/>
      <c r="H574" s="18">
        <v>135513</v>
      </c>
      <c r="I574" s="87">
        <f>SUM(F574:H574)</f>
        <v>147813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>
        <v>12300</v>
      </c>
      <c r="G577" s="18"/>
      <c r="H577" s="18">
        <v>135513</v>
      </c>
      <c r="I577" s="87">
        <f t="shared" si="47"/>
        <v>147813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f>5757+41395</f>
        <v>47152</v>
      </c>
      <c r="G581" s="18">
        <v>59930</v>
      </c>
      <c r="H581" s="18">
        <f>8646+266790</f>
        <v>275436</v>
      </c>
      <c r="I581" s="87">
        <f t="shared" si="47"/>
        <v>382518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4830</v>
      </c>
      <c r="I583" s="87">
        <f t="shared" si="47"/>
        <v>4830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124952+1071+2633</f>
        <v>128656</v>
      </c>
      <c r="I590" s="18">
        <f>124952+3489+2633</f>
        <v>131074</v>
      </c>
      <c r="J590" s="18">
        <f>127595+2713</f>
        <v>130308</v>
      </c>
      <c r="K590" s="104">
        <f t="shared" ref="K590:K596" si="48">SUM(H590:J590)</f>
        <v>390038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53603+21556</f>
        <v>75159</v>
      </c>
      <c r="I591" s="18">
        <v>54848</v>
      </c>
      <c r="J591" s="18">
        <v>139654</v>
      </c>
      <c r="K591" s="104">
        <f t="shared" si="48"/>
        <v>269661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20790</v>
      </c>
      <c r="K592" s="104">
        <f t="shared" si="48"/>
        <v>20790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3446</v>
      </c>
      <c r="I593" s="18">
        <v>12166</v>
      </c>
      <c r="J593" s="18">
        <v>47344</v>
      </c>
      <c r="K593" s="104">
        <f t="shared" si="48"/>
        <v>62956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>
        <v>2807</v>
      </c>
      <c r="J594" s="18">
        <f>2819</f>
        <v>2819</v>
      </c>
      <c r="K594" s="104">
        <f t="shared" si="48"/>
        <v>5626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>
        <v>150</v>
      </c>
      <c r="K596" s="104">
        <f t="shared" si="48"/>
        <v>150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207261</v>
      </c>
      <c r="I597" s="108">
        <f>SUM(I590:I596)</f>
        <v>200895</v>
      </c>
      <c r="J597" s="108">
        <f>SUM(J590:J596)</f>
        <v>341065</v>
      </c>
      <c r="K597" s="108">
        <f>SUM(K590:K596)</f>
        <v>749221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95973+28667+11450</f>
        <v>136090</v>
      </c>
      <c r="I603" s="18">
        <f>31686+28667</f>
        <v>60353</v>
      </c>
      <c r="J603" s="18">
        <f>203204+25917</f>
        <v>229121</v>
      </c>
      <c r="K603" s="104">
        <f>SUM(H603:J603)</f>
        <v>425564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136090</v>
      </c>
      <c r="I604" s="108">
        <f>SUM(I601:I603)</f>
        <v>60353</v>
      </c>
      <c r="J604" s="108">
        <f>SUM(J601:J603)</f>
        <v>229121</v>
      </c>
      <c r="K604" s="108">
        <f>SUM(K601:K603)</f>
        <v>425564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2369</v>
      </c>
      <c r="G610" s="18">
        <v>256</v>
      </c>
      <c r="H610" s="18"/>
      <c r="I610" s="18"/>
      <c r="J610" s="18"/>
      <c r="K610" s="18"/>
      <c r="L610" s="88">
        <f>SUM(F610:K610)</f>
        <v>2625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4646</v>
      </c>
      <c r="G611" s="18">
        <v>740</v>
      </c>
      <c r="H611" s="18"/>
      <c r="I611" s="18"/>
      <c r="J611" s="18"/>
      <c r="K611" s="18"/>
      <c r="L611" s="88">
        <f>SUM(F611:K611)</f>
        <v>5386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2900</v>
      </c>
      <c r="G612" s="18">
        <v>462</v>
      </c>
      <c r="H612" s="18"/>
      <c r="I612" s="18"/>
      <c r="J612" s="18"/>
      <c r="K612" s="18"/>
      <c r="L612" s="88">
        <f>SUM(F612:K612)</f>
        <v>3362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9915</v>
      </c>
      <c r="G613" s="108">
        <f t="shared" si="49"/>
        <v>1458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11373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1271217</v>
      </c>
      <c r="H616" s="109">
        <f>SUM(F51)</f>
        <v>1271217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23889</v>
      </c>
      <c r="H617" s="109">
        <f>SUM(G51)</f>
        <v>23889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145801</v>
      </c>
      <c r="H618" s="109">
        <f>SUM(H51)</f>
        <v>145801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238708</v>
      </c>
      <c r="H619" s="109">
        <f>SUM(I51)</f>
        <v>238708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90710</v>
      </c>
      <c r="H620" s="109">
        <f>SUM(J51)</f>
        <v>90710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1176847</v>
      </c>
      <c r="H621" s="109">
        <f>F475</f>
        <v>1176847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17581</v>
      </c>
      <c r="H622" s="109">
        <f>G475</f>
        <v>17581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9337</v>
      </c>
      <c r="H623" s="109">
        <f>H475</f>
        <v>9337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235322</v>
      </c>
      <c r="H624" s="109">
        <f>I475</f>
        <v>235322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90710</v>
      </c>
      <c r="H625" s="109">
        <f>J475</f>
        <v>90710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16564879</v>
      </c>
      <c r="H626" s="104">
        <f>SUM(F467)</f>
        <v>16564879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431008</v>
      </c>
      <c r="H627" s="104">
        <f>SUM(G467)</f>
        <v>431008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697839</v>
      </c>
      <c r="H628" s="104">
        <f>SUM(H467)</f>
        <v>697839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1140</v>
      </c>
      <c r="H629" s="104">
        <f>SUM(I467)</f>
        <v>1140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772</v>
      </c>
      <c r="H630" s="104">
        <f>SUM(J467)</f>
        <v>772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16187097</v>
      </c>
      <c r="H631" s="104">
        <f>SUM(F471)</f>
        <v>16187097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689886</v>
      </c>
      <c r="H632" s="104">
        <f>SUM(H471)</f>
        <v>689886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29665</v>
      </c>
      <c r="H633" s="104">
        <f>I368</f>
        <v>29665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431008</v>
      </c>
      <c r="H634" s="104">
        <f>SUM(G471)</f>
        <v>431008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8074378</v>
      </c>
      <c r="H635" s="104">
        <f>SUM(I471)</f>
        <v>8074378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772</v>
      </c>
      <c r="H636" s="164">
        <f>SUM(J467)</f>
        <v>772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90710</v>
      </c>
      <c r="H638" s="104">
        <f>SUM(F460)</f>
        <v>90710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90710</v>
      </c>
      <c r="H641" s="104">
        <f>SUM(I460)</f>
        <v>90710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772</v>
      </c>
      <c r="H643" s="104">
        <f>H407</f>
        <v>772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772</v>
      </c>
      <c r="H645" s="104">
        <f>L407</f>
        <v>772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749221</v>
      </c>
      <c r="H646" s="104">
        <f>L207+L225+L243</f>
        <v>749221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425564</v>
      </c>
      <c r="H647" s="104">
        <f>(J256+J337)-(J254+J335)</f>
        <v>425564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207261</v>
      </c>
      <c r="H648" s="104">
        <f>H597</f>
        <v>207261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200895</v>
      </c>
      <c r="H649" s="104">
        <f>I597</f>
        <v>200895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341065</v>
      </c>
      <c r="H650" s="104">
        <f>J597</f>
        <v>341065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22274</v>
      </c>
      <c r="H651" s="104">
        <f>K262+K344</f>
        <v>22274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4745537</v>
      </c>
      <c r="G659" s="19">
        <f>(L228+L308+L358)</f>
        <v>4359573</v>
      </c>
      <c r="H659" s="19">
        <f>(L246+L327+L359)</f>
        <v>5463971</v>
      </c>
      <c r="I659" s="19">
        <f>SUM(F659:H659)</f>
        <v>14569081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70506.857489884176</v>
      </c>
      <c r="G660" s="19">
        <f>(L358/IF(SUM(L357:L359)=0,1,SUM(L357:L359))*(SUM(G96:G109)))</f>
        <v>70701.909108415624</v>
      </c>
      <c r="H660" s="19">
        <f>(L359/IF(SUM(L357:L359)=0,1,SUM(L357:L359))*(SUM(G96:G109)))</f>
        <v>64842.233401700199</v>
      </c>
      <c r="I660" s="19">
        <f>SUM(F660:H660)</f>
        <v>206051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204823</v>
      </c>
      <c r="G661" s="19">
        <f>(L225+L305)-(J225+J305)</f>
        <v>202413</v>
      </c>
      <c r="H661" s="19">
        <f>(L243+L324)-(J243+J324)</f>
        <v>338352</v>
      </c>
      <c r="I661" s="19">
        <f>SUM(F661:H661)</f>
        <v>745588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210467</v>
      </c>
      <c r="G662" s="200">
        <f>SUM(G574:G586)+SUM(I601:I603)+L611</f>
        <v>125669</v>
      </c>
      <c r="H662" s="200">
        <f>SUM(H574:H586)+SUM(J601:J603)+L612</f>
        <v>783775</v>
      </c>
      <c r="I662" s="19">
        <f>SUM(F662:H662)</f>
        <v>1119911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4259740.1425101161</v>
      </c>
      <c r="G663" s="19">
        <f>G659-SUM(G660:G662)</f>
        <v>3960789.0908915843</v>
      </c>
      <c r="H663" s="19">
        <f>H659-SUM(H660:H662)</f>
        <v>4277001.7665983001</v>
      </c>
      <c r="I663" s="19">
        <f>I659-SUM(I660:I662)</f>
        <v>12497531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383.9</v>
      </c>
      <c r="G664" s="249">
        <v>362.18</v>
      </c>
      <c r="H664" s="249">
        <v>350.69</v>
      </c>
      <c r="I664" s="19">
        <f>SUM(F664:H664)</f>
        <v>1096.77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11095.96</v>
      </c>
      <c r="G666" s="19">
        <f>ROUND(G663/G664,2)</f>
        <v>10935.97</v>
      </c>
      <c r="H666" s="19">
        <f>ROUND(H663/H664,2)</f>
        <v>12195.96</v>
      </c>
      <c r="I666" s="19">
        <f>ROUND(I663/I664,2)</f>
        <v>11394.85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>
        <v>2</v>
      </c>
      <c r="I669" s="19">
        <f>SUM(F669:H669)</f>
        <v>2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11095.96</v>
      </c>
      <c r="G671" s="19">
        <f>ROUND((G663+G668)/(G664+G669),2)</f>
        <v>10935.97</v>
      </c>
      <c r="H671" s="19">
        <f>ROUND((H663+H668)/(H664+H669),2)</f>
        <v>12126.8</v>
      </c>
      <c r="I671" s="19">
        <f>ROUND((I663+I668)/(I664+I669),2)</f>
        <v>11374.11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7" workbookViewId="0">
      <selection activeCell="F601" sqref="F601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 xml:space="preserve">Mascenic Regional </v>
      </c>
      <c r="C1" s="239" t="s">
        <v>839</v>
      </c>
    </row>
    <row r="2" spans="1:3">
      <c r="A2" s="234"/>
      <c r="B2" s="233"/>
    </row>
    <row r="3" spans="1:3">
      <c r="A3" s="275" t="s">
        <v>784</v>
      </c>
      <c r="B3" s="275"/>
      <c r="C3" s="275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4" t="s">
        <v>783</v>
      </c>
      <c r="C6" s="274"/>
    </row>
    <row r="7" spans="1:3">
      <c r="A7" s="240" t="s">
        <v>786</v>
      </c>
      <c r="B7" s="272" t="s">
        <v>782</v>
      </c>
      <c r="C7" s="273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3933401</v>
      </c>
      <c r="C9" s="230">
        <f>'DOE25'!G196+'DOE25'!G214+'DOE25'!G232+'DOE25'!G275+'DOE25'!G294+'DOE25'!G313</f>
        <v>1696294</v>
      </c>
    </row>
    <row r="10" spans="1:3">
      <c r="A10" t="s">
        <v>779</v>
      </c>
      <c r="B10" s="241">
        <f>24563+3658920</f>
        <v>3683483</v>
      </c>
      <c r="C10" s="241">
        <f>1062+1665519</f>
        <v>1666581</v>
      </c>
    </row>
    <row r="11" spans="1:3">
      <c r="A11" t="s">
        <v>780</v>
      </c>
      <c r="B11" s="241">
        <v>94315</v>
      </c>
      <c r="C11" s="241">
        <v>14266</v>
      </c>
    </row>
    <row r="12" spans="1:3">
      <c r="A12" t="s">
        <v>781</v>
      </c>
      <c r="B12" s="241">
        <f>8415+21365+125823</f>
        <v>155603</v>
      </c>
      <c r="C12" s="241">
        <f>1041+3210+11196</f>
        <v>15447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3933401</v>
      </c>
      <c r="C13" s="232">
        <f>SUM(C10:C12)</f>
        <v>1696294</v>
      </c>
    </row>
    <row r="14" spans="1:3">
      <c r="B14" s="231"/>
      <c r="C14" s="231"/>
    </row>
    <row r="15" spans="1:3">
      <c r="B15" s="274" t="s">
        <v>783</v>
      </c>
      <c r="C15" s="274"/>
    </row>
    <row r="16" spans="1:3">
      <c r="A16" s="240" t="s">
        <v>787</v>
      </c>
      <c r="B16" s="272" t="s">
        <v>707</v>
      </c>
      <c r="C16" s="273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862196</v>
      </c>
      <c r="C18" s="230">
        <f>'DOE25'!G197+'DOE25'!G215+'DOE25'!G233+'DOE25'!G276+'DOE25'!G295+'DOE25'!G314</f>
        <v>278268</v>
      </c>
    </row>
    <row r="19" spans="1:3">
      <c r="A19" t="s">
        <v>779</v>
      </c>
      <c r="B19" s="241">
        <f>449957+28056</f>
        <v>478013</v>
      </c>
      <c r="C19" s="241">
        <f>217099+6273</f>
        <v>223372</v>
      </c>
    </row>
    <row r="20" spans="1:3">
      <c r="A20" t="s">
        <v>780</v>
      </c>
      <c r="B20" s="241">
        <f>342013+20059</f>
        <v>362072</v>
      </c>
      <c r="C20" s="241">
        <f>48968+1736</f>
        <v>50704</v>
      </c>
    </row>
    <row r="21" spans="1:3">
      <c r="A21" t="s">
        <v>781</v>
      </c>
      <c r="B21" s="241">
        <f>20514+1597</f>
        <v>22111</v>
      </c>
      <c r="C21" s="241">
        <f>4059+133</f>
        <v>4192</v>
      </c>
    </row>
    <row r="22" spans="1:3">
      <c r="A22" t="str">
        <f>IF(B18=B22,IF(C18=C22,"Check Total OK","Check Total Error"),"Check Total Error")</f>
        <v>Check Total OK</v>
      </c>
      <c r="B22" s="232">
        <f>SUM(B19:B21)</f>
        <v>862196</v>
      </c>
      <c r="C22" s="232">
        <f>SUM(C19:C21)</f>
        <v>278268</v>
      </c>
    </row>
    <row r="23" spans="1:3">
      <c r="B23" s="231"/>
      <c r="C23" s="231"/>
    </row>
    <row r="24" spans="1:3">
      <c r="B24" s="274" t="s">
        <v>783</v>
      </c>
      <c r="C24" s="274"/>
    </row>
    <row r="25" spans="1:3">
      <c r="A25" s="240" t="s">
        <v>788</v>
      </c>
      <c r="B25" s="272" t="s">
        <v>708</v>
      </c>
      <c r="C25" s="273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111214</v>
      </c>
      <c r="C27" s="235">
        <f>'DOE25'!G198+'DOE25'!G216+'DOE25'!G234+'DOE25'!G277+'DOE25'!G296+'DOE25'!G315</f>
        <v>27252</v>
      </c>
    </row>
    <row r="28" spans="1:3">
      <c r="A28" t="s">
        <v>779</v>
      </c>
      <c r="B28" s="241">
        <f>77224+20672+10150</f>
        <v>108046</v>
      </c>
      <c r="C28" s="241">
        <f>22566+3192+852</f>
        <v>26610</v>
      </c>
    </row>
    <row r="29" spans="1:3">
      <c r="A29" t="s">
        <v>780</v>
      </c>
      <c r="B29" s="241">
        <v>3168</v>
      </c>
      <c r="C29" s="241">
        <f>95+547</f>
        <v>642</v>
      </c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111214</v>
      </c>
      <c r="C31" s="232">
        <f>SUM(C28:C30)</f>
        <v>27252</v>
      </c>
    </row>
    <row r="33" spans="1:3">
      <c r="B33" s="274" t="s">
        <v>783</v>
      </c>
      <c r="C33" s="274"/>
    </row>
    <row r="34" spans="1:3">
      <c r="A34" s="240" t="s">
        <v>789</v>
      </c>
      <c r="B34" s="272" t="s">
        <v>709</v>
      </c>
      <c r="C34" s="273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104030</v>
      </c>
      <c r="C36" s="236">
        <f>'DOE25'!G199+'DOE25'!G217+'DOE25'!G235+'DOE25'!G278+'DOE25'!G297+'DOE25'!G316</f>
        <v>12747</v>
      </c>
    </row>
    <row r="37" spans="1:3">
      <c r="A37" t="s">
        <v>779</v>
      </c>
      <c r="B37" s="241"/>
      <c r="C37" s="241"/>
    </row>
    <row r="38" spans="1:3">
      <c r="A38" t="s">
        <v>780</v>
      </c>
      <c r="B38" s="241"/>
      <c r="C38" s="241"/>
    </row>
    <row r="39" spans="1:3">
      <c r="A39" t="s">
        <v>781</v>
      </c>
      <c r="B39" s="241">
        <f>24046+70069+9915</f>
        <v>104030</v>
      </c>
      <c r="C39" s="241">
        <f>3959+7329+1459</f>
        <v>12747</v>
      </c>
    </row>
    <row r="40" spans="1:3">
      <c r="A40" t="str">
        <f>IF(B36=B40,IF(C36=C40,"Check Total OK","Check Total Error"),"Check Total Error")</f>
        <v>Check Total OK</v>
      </c>
      <c r="B40" s="232">
        <f>SUM(B37:B39)</f>
        <v>104030</v>
      </c>
      <c r="C40" s="232">
        <f>SUM(C37:C39)</f>
        <v>12747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1" activePane="bottomLeft" state="frozen"/>
      <selection activeCell="F601" sqref="F601"/>
      <selection pane="bottomLeft" activeCell="F601" sqref="F601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>
      <c r="A2" s="33" t="s">
        <v>717</v>
      </c>
      <c r="B2" s="266" t="str">
        <f>'DOE25'!A2</f>
        <v xml:space="preserve">Mascenic Regional 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7875407</v>
      </c>
      <c r="D5" s="20">
        <f>SUM('DOE25'!L196:L199)+SUM('DOE25'!L214:L217)+SUM('DOE25'!L232:L235)-F5-G5</f>
        <v>7658264</v>
      </c>
      <c r="E5" s="244"/>
      <c r="F5" s="256">
        <f>SUM('DOE25'!J196:J199)+SUM('DOE25'!J214:J217)+SUM('DOE25'!J232:J235)</f>
        <v>193725</v>
      </c>
      <c r="G5" s="53">
        <f>SUM('DOE25'!K196:K199)+SUM('DOE25'!K214:K217)+SUM('DOE25'!K232:K235)</f>
        <v>23418</v>
      </c>
      <c r="H5" s="260"/>
    </row>
    <row r="6" spans="1:9">
      <c r="A6" s="32">
        <v>2100</v>
      </c>
      <c r="B6" t="s">
        <v>801</v>
      </c>
      <c r="C6" s="246">
        <f t="shared" si="0"/>
        <v>988722</v>
      </c>
      <c r="D6" s="20">
        <f>'DOE25'!L201+'DOE25'!L219+'DOE25'!L237-F6-G6</f>
        <v>979074</v>
      </c>
      <c r="E6" s="244"/>
      <c r="F6" s="256">
        <f>'DOE25'!J201+'DOE25'!J219+'DOE25'!J237</f>
        <v>7496</v>
      </c>
      <c r="G6" s="53">
        <f>'DOE25'!K201+'DOE25'!K219+'DOE25'!K237</f>
        <v>2152</v>
      </c>
      <c r="H6" s="260"/>
    </row>
    <row r="7" spans="1:9">
      <c r="A7" s="32">
        <v>2200</v>
      </c>
      <c r="B7" t="s">
        <v>834</v>
      </c>
      <c r="C7" s="246">
        <f t="shared" si="0"/>
        <v>323162</v>
      </c>
      <c r="D7" s="20">
        <f>'DOE25'!L202+'DOE25'!L220+'DOE25'!L238-F7-G7</f>
        <v>315732</v>
      </c>
      <c r="E7" s="244"/>
      <c r="F7" s="256">
        <f>'DOE25'!J202+'DOE25'!J220+'DOE25'!J238</f>
        <v>7430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241376</v>
      </c>
      <c r="D8" s="244"/>
      <c r="E8" s="20">
        <f>'DOE25'!L203+'DOE25'!L221+'DOE25'!L239-F8-G8-D9-D11</f>
        <v>222948</v>
      </c>
      <c r="F8" s="256">
        <f>'DOE25'!J203+'DOE25'!J221+'DOE25'!J239</f>
        <v>1872</v>
      </c>
      <c r="G8" s="53">
        <f>'DOE25'!K203+'DOE25'!K221+'DOE25'!K239</f>
        <v>16556</v>
      </c>
      <c r="H8" s="260"/>
    </row>
    <row r="9" spans="1:9">
      <c r="A9" s="32">
        <v>2310</v>
      </c>
      <c r="B9" t="s">
        <v>818</v>
      </c>
      <c r="C9" s="246">
        <f t="shared" si="0"/>
        <v>139841</v>
      </c>
      <c r="D9" s="245">
        <v>139841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20850</v>
      </c>
      <c r="D10" s="244"/>
      <c r="E10" s="245">
        <v>20850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258978</v>
      </c>
      <c r="D11" s="245">
        <v>258978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979506</v>
      </c>
      <c r="D12" s="20">
        <f>'DOE25'!L204+'DOE25'!L222+'DOE25'!L240-F12-G12</f>
        <v>952271</v>
      </c>
      <c r="E12" s="244"/>
      <c r="F12" s="256">
        <f>'DOE25'!J204+'DOE25'!J222+'DOE25'!J240</f>
        <v>5406</v>
      </c>
      <c r="G12" s="53">
        <f>'DOE25'!K204+'DOE25'!K222+'DOE25'!K240</f>
        <v>21829</v>
      </c>
      <c r="H12" s="260"/>
    </row>
    <row r="13" spans="1:9">
      <c r="A13" s="32">
        <v>2500</v>
      </c>
      <c r="B13" t="s">
        <v>803</v>
      </c>
      <c r="C13" s="246">
        <f t="shared" si="0"/>
        <v>227028</v>
      </c>
      <c r="D13" s="244"/>
      <c r="E13" s="20">
        <f>'DOE25'!L205+'DOE25'!L223+'DOE25'!L241-F13-G13</f>
        <v>225621</v>
      </c>
      <c r="F13" s="256">
        <f>'DOE25'!J205+'DOE25'!J223+'DOE25'!J241</f>
        <v>300</v>
      </c>
      <c r="G13" s="53">
        <f>'DOE25'!K205+'DOE25'!K223+'DOE25'!K241</f>
        <v>1107</v>
      </c>
      <c r="H13" s="260"/>
    </row>
    <row r="14" spans="1:9">
      <c r="A14" s="32">
        <v>2600</v>
      </c>
      <c r="B14" t="s">
        <v>832</v>
      </c>
      <c r="C14" s="246">
        <f t="shared" si="0"/>
        <v>1516913</v>
      </c>
      <c r="D14" s="20">
        <f>'DOE25'!L206+'DOE25'!L224+'DOE25'!L242-F14-G14</f>
        <v>1382487</v>
      </c>
      <c r="E14" s="244"/>
      <c r="F14" s="256">
        <f>'DOE25'!J206+'DOE25'!J224+'DOE25'!J242</f>
        <v>134426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749221</v>
      </c>
      <c r="D15" s="20">
        <f>'DOE25'!L207+'DOE25'!L225+'DOE25'!L243-F15-G15</f>
        <v>741242</v>
      </c>
      <c r="E15" s="244"/>
      <c r="F15" s="256">
        <f>'DOE25'!J207+'DOE25'!J225+'DOE25'!J243</f>
        <v>7979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148033</v>
      </c>
      <c r="D16" s="244"/>
      <c r="E16" s="20">
        <f>'DOE25'!L208+'DOE25'!L226+'DOE25'!L244-F16-G16</f>
        <v>157303</v>
      </c>
      <c r="F16" s="256">
        <f>'DOE25'!J208+'DOE25'!J226+'DOE25'!J244</f>
        <v>-16321</v>
      </c>
      <c r="G16" s="53">
        <f>'DOE25'!K208+'DOE25'!K226+'DOE25'!K244</f>
        <v>7051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2716636</v>
      </c>
      <c r="D25" s="244"/>
      <c r="E25" s="244"/>
      <c r="F25" s="259"/>
      <c r="G25" s="257"/>
      <c r="H25" s="258">
        <f>'DOE25'!L259+'DOE25'!L260+'DOE25'!L340+'DOE25'!L341</f>
        <v>2716636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406902</v>
      </c>
      <c r="D29" s="20">
        <f>'DOE25'!L357+'DOE25'!L358+'DOE25'!L359-'DOE25'!I366-F29-G29</f>
        <v>401955</v>
      </c>
      <c r="E29" s="244"/>
      <c r="F29" s="256">
        <f>'DOE25'!J357+'DOE25'!J358+'DOE25'!J359</f>
        <v>4947</v>
      </c>
      <c r="G29" s="53">
        <f>'DOE25'!K357+'DOE25'!K358+'DOE25'!K359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689886</v>
      </c>
      <c r="D31" s="20">
        <f>'DOE25'!L289+'DOE25'!L308+'DOE25'!L327+'DOE25'!L332+'DOE25'!L333+'DOE25'!L334-F31-G31</f>
        <v>604913</v>
      </c>
      <c r="E31" s="244"/>
      <c r="F31" s="256">
        <f>'DOE25'!J289+'DOE25'!J308+'DOE25'!J327+'DOE25'!J332+'DOE25'!J333+'DOE25'!J334</f>
        <v>83251</v>
      </c>
      <c r="G31" s="53">
        <f>'DOE25'!K289+'DOE25'!K308+'DOE25'!K327+'DOE25'!K332+'DOE25'!K333+'DOE25'!K334</f>
        <v>1722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13434757</v>
      </c>
      <c r="E33" s="247">
        <f>SUM(E5:E31)</f>
        <v>626722</v>
      </c>
      <c r="F33" s="247">
        <f>SUM(F5:F31)</f>
        <v>430511</v>
      </c>
      <c r="G33" s="247">
        <f>SUM(G5:G31)</f>
        <v>73835</v>
      </c>
      <c r="H33" s="247">
        <f>SUM(H5:H31)</f>
        <v>2716636</v>
      </c>
    </row>
    <row r="35" spans="2:8" ht="12" thickBot="1">
      <c r="B35" s="254" t="s">
        <v>847</v>
      </c>
      <c r="D35" s="255">
        <f>E33</f>
        <v>626722</v>
      </c>
      <c r="E35" s="250"/>
    </row>
    <row r="36" spans="2:8" ht="12" thickTop="1">
      <c r="B36" t="s">
        <v>815</v>
      </c>
      <c r="D36" s="20">
        <f>D33</f>
        <v>13434757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activeCell="F601" sqref="F601"/>
      <selection pane="bottomLeft" activeCell="F601" sqref="F601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 xml:space="preserve">Mascenic Regional 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1144985</v>
      </c>
      <c r="D8" s="95">
        <f>'DOE25'!G9</f>
        <v>100</v>
      </c>
      <c r="E8" s="95">
        <f>'DOE25'!H9</f>
        <v>966</v>
      </c>
      <c r="F8" s="95">
        <f>'DOE25'!I9</f>
        <v>238708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6010</v>
      </c>
      <c r="F9" s="95">
        <f>'DOE25'!I10</f>
        <v>0</v>
      </c>
      <c r="G9" s="95">
        <f>'DOE25'!J10</f>
        <v>90710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120501</v>
      </c>
      <c r="D11" s="95">
        <f>'DOE25'!G12</f>
        <v>9279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5731</v>
      </c>
      <c r="D13" s="95">
        <f>'DOE25'!G14</f>
        <v>5704</v>
      </c>
      <c r="E13" s="95">
        <f>'DOE25'!H14</f>
        <v>138825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8806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1271217</v>
      </c>
      <c r="D18" s="41">
        <f>SUM(D8:D17)</f>
        <v>23889</v>
      </c>
      <c r="E18" s="41">
        <f>SUM(E8:E17)</f>
        <v>145801</v>
      </c>
      <c r="F18" s="41">
        <f>SUM(F8:F17)</f>
        <v>238708</v>
      </c>
      <c r="G18" s="41">
        <f>SUM(G8:G17)</f>
        <v>90710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9279</v>
      </c>
      <c r="D21" s="95">
        <f>'DOE25'!G22</f>
        <v>0</v>
      </c>
      <c r="E21" s="95">
        <f>'DOE25'!H22</f>
        <v>120443</v>
      </c>
      <c r="F21" s="95">
        <f>'DOE25'!I22</f>
        <v>58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85091</v>
      </c>
      <c r="D23" s="95">
        <f>'DOE25'!G24</f>
        <v>6308</v>
      </c>
      <c r="E23" s="95">
        <f>'DOE25'!H24</f>
        <v>16021</v>
      </c>
      <c r="F23" s="95">
        <f>'DOE25'!I24</f>
        <v>3328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94370</v>
      </c>
      <c r="D31" s="41">
        <f>SUM(D21:D30)</f>
        <v>6308</v>
      </c>
      <c r="E31" s="41">
        <f>SUM(E21:E30)</f>
        <v>136464</v>
      </c>
      <c r="F31" s="41">
        <f>SUM(F21:F30)</f>
        <v>3386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8806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8775</v>
      </c>
      <c r="E46" s="95">
        <f>'DOE25'!H47</f>
        <v>9337</v>
      </c>
      <c r="F46" s="95">
        <f>'DOE25'!I47</f>
        <v>58840</v>
      </c>
      <c r="G46" s="95">
        <f>'DOE25'!J47</f>
        <v>90710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276321</v>
      </c>
      <c r="D47" s="95">
        <f>'DOE25'!G48</f>
        <v>0</v>
      </c>
      <c r="E47" s="95">
        <f>'DOE25'!H48</f>
        <v>0</v>
      </c>
      <c r="F47" s="95">
        <f>'DOE25'!I48</f>
        <v>176482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900526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1176847</v>
      </c>
      <c r="D49" s="41">
        <f>SUM(D34:D48)</f>
        <v>17581</v>
      </c>
      <c r="E49" s="41">
        <f>SUM(E34:E48)</f>
        <v>9337</v>
      </c>
      <c r="F49" s="41">
        <f>SUM(F34:F48)</f>
        <v>235322</v>
      </c>
      <c r="G49" s="41">
        <f>SUM(G34:G48)</f>
        <v>90710</v>
      </c>
      <c r="H49" s="124"/>
      <c r="I49" s="124"/>
    </row>
    <row r="50" spans="1:9" ht="12" thickTop="1">
      <c r="A50" s="38" t="s">
        <v>895</v>
      </c>
      <c r="B50" s="2"/>
      <c r="C50" s="41">
        <f>C49+C31</f>
        <v>1271217</v>
      </c>
      <c r="D50" s="41">
        <f>D49+D31</f>
        <v>23889</v>
      </c>
      <c r="E50" s="41">
        <f>E49+E31</f>
        <v>145801</v>
      </c>
      <c r="F50" s="41">
        <f>F49+F31</f>
        <v>238708</v>
      </c>
      <c r="G50" s="41">
        <f>G49+G31</f>
        <v>90710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6408320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86462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118</v>
      </c>
      <c r="D58" s="95">
        <f>'DOE25'!G95</f>
        <v>0</v>
      </c>
      <c r="E58" s="95">
        <f>'DOE25'!H95</f>
        <v>3</v>
      </c>
      <c r="F58" s="95">
        <f>'DOE25'!I95</f>
        <v>1140</v>
      </c>
      <c r="G58" s="95">
        <f>'DOE25'!J95</f>
        <v>772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206051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91244</v>
      </c>
      <c r="D60" s="95">
        <f>SUM('DOE25'!G97:G109)</f>
        <v>0</v>
      </c>
      <c r="E60" s="95">
        <f>SUM('DOE25'!H97:H109)</f>
        <v>11910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177824</v>
      </c>
      <c r="D61" s="130">
        <f>SUM(D56:D60)</f>
        <v>206051</v>
      </c>
      <c r="E61" s="130">
        <f>SUM(E56:E60)</f>
        <v>11913</v>
      </c>
      <c r="F61" s="130">
        <f>SUM(F56:F60)</f>
        <v>1140</v>
      </c>
      <c r="G61" s="130">
        <f>SUM(G56:G60)</f>
        <v>772</v>
      </c>
      <c r="H61"/>
      <c r="I61"/>
    </row>
    <row r="62" spans="1:9" ht="12" thickTop="1">
      <c r="A62" s="29" t="s">
        <v>175</v>
      </c>
      <c r="B62" s="6"/>
      <c r="C62" s="22">
        <f>C55+C61</f>
        <v>6586144</v>
      </c>
      <c r="D62" s="22">
        <f>D55+D61</f>
        <v>206051</v>
      </c>
      <c r="E62" s="22">
        <f>E55+E61</f>
        <v>11913</v>
      </c>
      <c r="F62" s="22">
        <f>F55+F61</f>
        <v>1140</v>
      </c>
      <c r="G62" s="22">
        <f>G55+G61</f>
        <v>772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5411690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1241270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4689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11875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6669524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812639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635512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125925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113650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61155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51850</v>
      </c>
      <c r="D76" s="95">
        <f>SUM('DOE25'!G130:G134)</f>
        <v>4867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1800731</v>
      </c>
      <c r="D77" s="130">
        <f>SUM(D71:D76)</f>
        <v>4867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8470255</v>
      </c>
      <c r="D80" s="130">
        <f>SUM(D78:D79)+D77+D69</f>
        <v>4867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143420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131739</v>
      </c>
      <c r="D87" s="95">
        <f>SUM('DOE25'!G152:G160)</f>
        <v>197816</v>
      </c>
      <c r="E87" s="95">
        <f>SUM('DOE25'!H152:H160)</f>
        <v>685926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275159</v>
      </c>
      <c r="D90" s="131">
        <f>SUM(D84:D89)</f>
        <v>197816</v>
      </c>
      <c r="E90" s="131">
        <f>SUM(E84:E89)</f>
        <v>685926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1233321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22274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1233321</v>
      </c>
      <c r="D102" s="86">
        <f>SUM(D92:D101)</f>
        <v>22274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>
      <c r="A103" s="33" t="s">
        <v>765</v>
      </c>
      <c r="C103" s="86">
        <f>C62+C80+C90+C102</f>
        <v>16564879</v>
      </c>
      <c r="D103" s="86">
        <f>D62+D80+D90+D102</f>
        <v>431008</v>
      </c>
      <c r="E103" s="86">
        <f>E62+E80+E90+E102</f>
        <v>697839</v>
      </c>
      <c r="F103" s="86">
        <f>F62+F80+F90+F102</f>
        <v>1140</v>
      </c>
      <c r="G103" s="86">
        <f>G62+G80+G102</f>
        <v>772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5910444</v>
      </c>
      <c r="D108" s="24" t="s">
        <v>289</v>
      </c>
      <c r="E108" s="95">
        <f>('DOE25'!L275)+('DOE25'!L294)+('DOE25'!L313)</f>
        <v>220073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1598511</v>
      </c>
      <c r="D109" s="24" t="s">
        <v>289</v>
      </c>
      <c r="E109" s="95">
        <f>('DOE25'!L276)+('DOE25'!L295)+('DOE25'!L314)</f>
        <v>131397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174058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192394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7875407</v>
      </c>
      <c r="D114" s="86">
        <f>SUM(D108:D113)</f>
        <v>0</v>
      </c>
      <c r="E114" s="86">
        <f>SUM(E108:E113)</f>
        <v>351470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988722</v>
      </c>
      <c r="D117" s="24" t="s">
        <v>289</v>
      </c>
      <c r="E117" s="95">
        <f>+('DOE25'!L280)+('DOE25'!L299)+('DOE25'!L318)</f>
        <v>205363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323162</v>
      </c>
      <c r="D118" s="24" t="s">
        <v>289</v>
      </c>
      <c r="E118" s="95">
        <f>+('DOE25'!L281)+('DOE25'!L300)+('DOE25'!L319)</f>
        <v>59959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640195</v>
      </c>
      <c r="D119" s="24" t="s">
        <v>289</v>
      </c>
      <c r="E119" s="95">
        <f>+('DOE25'!L282)+('DOE25'!L301)+('DOE25'!L320)</f>
        <v>68748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979506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227028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1516913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749221</v>
      </c>
      <c r="D123" s="24" t="s">
        <v>289</v>
      </c>
      <c r="E123" s="95">
        <f>+('DOE25'!L286)+('DOE25'!L305)+('DOE25'!L324)</f>
        <v>4346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148033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431008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5572780</v>
      </c>
      <c r="D127" s="86">
        <f>SUM(D117:D126)</f>
        <v>431008</v>
      </c>
      <c r="E127" s="86">
        <f>SUM(E117:E126)</f>
        <v>338416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8074378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1483315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1233321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22274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772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-772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2738910</v>
      </c>
      <c r="D143" s="141">
        <f>SUM(D129:D142)</f>
        <v>0</v>
      </c>
      <c r="E143" s="141">
        <f>SUM(E129:E142)</f>
        <v>0</v>
      </c>
      <c r="F143" s="141">
        <f>SUM(F129:F142)</f>
        <v>8074378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16187097</v>
      </c>
      <c r="D144" s="86">
        <f>(D114+D127+D143)</f>
        <v>431008</v>
      </c>
      <c r="E144" s="86">
        <f>(E114+E127+E143)</f>
        <v>689886</v>
      </c>
      <c r="F144" s="86">
        <f>(F114+F127+F143)</f>
        <v>8074378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16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 t="str">
        <f>'DOE25'!F490</f>
        <v>06/10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 t="str">
        <f>'DOE25'!F491</f>
        <v>9/26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23623315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5.39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23623315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23623315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>
      <c r="A158" s="22" t="s">
        <v>35</v>
      </c>
      <c r="B158" s="137">
        <f>'DOE25'!F497</f>
        <v>22140000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22140000</v>
      </c>
    </row>
    <row r="159" spans="1:9">
      <c r="A159" s="22" t="s">
        <v>36</v>
      </c>
      <c r="B159" s="137">
        <f>'DOE25'!F498</f>
        <v>8945244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8945244</v>
      </c>
    </row>
    <row r="160" spans="1:9">
      <c r="A160" s="22" t="s">
        <v>37</v>
      </c>
      <c r="B160" s="137">
        <f>'DOE25'!F499</f>
        <v>31085244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31085244</v>
      </c>
    </row>
    <row r="161" spans="1:7">
      <c r="A161" s="22" t="s">
        <v>38</v>
      </c>
      <c r="B161" s="137">
        <f>'DOE25'!F500</f>
        <v>1480000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1480000</v>
      </c>
    </row>
    <row r="162" spans="1:7">
      <c r="A162" s="22" t="s">
        <v>39</v>
      </c>
      <c r="B162" s="137">
        <f>'DOE25'!F501</f>
        <v>1153460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1153460</v>
      </c>
    </row>
    <row r="163" spans="1:7">
      <c r="A163" s="22" t="s">
        <v>246</v>
      </c>
      <c r="B163" s="137">
        <f>'DOE25'!F502</f>
        <v>2633460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2633460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F601" sqref="F601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80" t="s">
        <v>740</v>
      </c>
      <c r="B1" s="280"/>
      <c r="C1" s="280"/>
      <c r="D1" s="280"/>
    </row>
    <row r="2" spans="1:4">
      <c r="A2" s="187" t="s">
        <v>717</v>
      </c>
      <c r="B2" s="186" t="str">
        <f>'DOE25'!A2</f>
        <v xml:space="preserve">Mascenic Regional 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11096</v>
      </c>
    </row>
    <row r="5" spans="1:4">
      <c r="B5" t="s">
        <v>704</v>
      </c>
      <c r="C5" s="179">
        <f>IF('DOE25'!G664+'DOE25'!G669=0,0,ROUND('DOE25'!G671,0))</f>
        <v>10936</v>
      </c>
    </row>
    <row r="6" spans="1:4">
      <c r="B6" t="s">
        <v>62</v>
      </c>
      <c r="C6" s="179">
        <f>IF('DOE25'!H664+'DOE25'!H669=0,0,ROUND('DOE25'!H671,0))</f>
        <v>12127</v>
      </c>
    </row>
    <row r="7" spans="1:4">
      <c r="B7" t="s">
        <v>705</v>
      </c>
      <c r="C7" s="179">
        <f>IF('DOE25'!I664+'DOE25'!I669=0,0,ROUND('DOE25'!I671,0))</f>
        <v>11374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6130517</v>
      </c>
      <c r="D10" s="182">
        <f>ROUND((C10/$C$28)*100,1)</f>
        <v>39.299999999999997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1729908</v>
      </c>
      <c r="D11" s="182">
        <f>ROUND((C11/$C$28)*100,1)</f>
        <v>11.1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174058</v>
      </c>
      <c r="D12" s="182">
        <f>ROUND((C12/$C$28)*100,1)</f>
        <v>1.1000000000000001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192394</v>
      </c>
      <c r="D13" s="182">
        <f>ROUND((C13/$C$28)*100,1)</f>
        <v>1.2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1194085</v>
      </c>
      <c r="D15" s="182">
        <f t="shared" ref="D15:D27" si="0">ROUND((C15/$C$28)*100,1)</f>
        <v>7.7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383121</v>
      </c>
      <c r="D16" s="182">
        <f t="shared" si="0"/>
        <v>2.5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856976</v>
      </c>
      <c r="D17" s="182">
        <f t="shared" si="0"/>
        <v>5.5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979506</v>
      </c>
      <c r="D18" s="182">
        <f t="shared" si="0"/>
        <v>6.3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227028</v>
      </c>
      <c r="D19" s="182">
        <f t="shared" si="0"/>
        <v>1.5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1516913</v>
      </c>
      <c r="D20" s="182">
        <f t="shared" si="0"/>
        <v>9.6999999999999993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753567</v>
      </c>
      <c r="D21" s="182">
        <f t="shared" si="0"/>
        <v>4.8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1233321</v>
      </c>
      <c r="D25" s="182">
        <f t="shared" si="0"/>
        <v>7.9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224957</v>
      </c>
      <c r="D27" s="182">
        <f t="shared" si="0"/>
        <v>1.4</v>
      </c>
    </row>
    <row r="28" spans="1:4">
      <c r="B28" s="187" t="s">
        <v>723</v>
      </c>
      <c r="C28" s="180">
        <f>SUM(C10:C27)</f>
        <v>15596351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8074378</v>
      </c>
    </row>
    <row r="30" spans="1:4">
      <c r="B30" s="187" t="s">
        <v>729</v>
      </c>
      <c r="C30" s="180">
        <f>SUM(C28:C29)</f>
        <v>23670729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1483315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6408320</v>
      </c>
      <c r="D35" s="182">
        <f t="shared" ref="D35:D40" si="1">ROUND((C35/$C$41)*100,1)</f>
        <v>36.700000000000003</v>
      </c>
    </row>
    <row r="36" spans="1:4">
      <c r="B36" s="185" t="s">
        <v>743</v>
      </c>
      <c r="C36" s="179">
        <f>SUM('DOE25'!F111:J111)-SUM('DOE25'!G96:G109)+('DOE25'!F173+'DOE25'!F174+'DOE25'!I173+'DOE25'!I174)-C35</f>
        <v>1424970</v>
      </c>
      <c r="D36" s="182">
        <f t="shared" si="1"/>
        <v>8.1999999999999993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6657649</v>
      </c>
      <c r="D37" s="182">
        <f t="shared" si="1"/>
        <v>38.1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1817473</v>
      </c>
      <c r="D38" s="182">
        <f t="shared" si="1"/>
        <v>10.4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1158901</v>
      </c>
      <c r="D39" s="182">
        <f t="shared" si="1"/>
        <v>6.6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17467313</v>
      </c>
      <c r="D41" s="184">
        <f>SUM(D35:D40)</f>
        <v>100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601" sqref="F601"/>
      <selection pane="bottomLeft" activeCell="F601" sqref="F601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4"/>
      <c r="K1" s="214"/>
      <c r="L1" s="214"/>
      <c r="M1" s="215"/>
    </row>
    <row r="2" spans="1:26" ht="12.75">
      <c r="A2" s="297" t="s">
        <v>767</v>
      </c>
      <c r="B2" s="298"/>
      <c r="C2" s="298"/>
      <c r="D2" s="298"/>
      <c r="E2" s="298"/>
      <c r="F2" s="291" t="str">
        <f>'DOE25'!A2</f>
        <v xml:space="preserve">Mascenic Regional </v>
      </c>
      <c r="G2" s="292"/>
      <c r="H2" s="292"/>
      <c r="I2" s="292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>
      <c r="A4" s="219">
        <v>6</v>
      </c>
      <c r="B4" s="220">
        <v>6</v>
      </c>
      <c r="C4" s="281" t="s">
        <v>914</v>
      </c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>
        <v>19</v>
      </c>
      <c r="B5" s="220">
        <v>2</v>
      </c>
      <c r="C5" s="281" t="s">
        <v>915</v>
      </c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>
        <v>19</v>
      </c>
      <c r="B6" s="220">
        <v>8</v>
      </c>
      <c r="C6" s="281" t="s">
        <v>916</v>
      </c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>
        <v>1</v>
      </c>
      <c r="B7" s="220">
        <v>35</v>
      </c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>
        <v>18</v>
      </c>
      <c r="B8" s="220">
        <v>2</v>
      </c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>
        <v>1</v>
      </c>
      <c r="B9" s="220">
        <v>36</v>
      </c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>
        <v>18</v>
      </c>
      <c r="B10" s="220">
        <v>19</v>
      </c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>
        <v>16</v>
      </c>
      <c r="B11" s="220">
        <v>10</v>
      </c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>
        <v>10</v>
      </c>
      <c r="B12" s="220">
        <v>14</v>
      </c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08"/>
      <c r="AB29" s="208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08"/>
      <c r="AO29" s="208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08"/>
      <c r="BB29" s="208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4"/>
      <c r="BN29" s="208"/>
      <c r="BO29" s="208"/>
      <c r="BP29" s="294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08"/>
      <c r="CB29" s="208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08"/>
      <c r="CO29" s="208"/>
      <c r="CP29" s="294"/>
      <c r="CQ29" s="294"/>
      <c r="CR29" s="294"/>
      <c r="CS29" s="294"/>
      <c r="CT29" s="294"/>
      <c r="CU29" s="294"/>
      <c r="CV29" s="294"/>
      <c r="CW29" s="294"/>
      <c r="CX29" s="294"/>
      <c r="CY29" s="294"/>
      <c r="CZ29" s="294"/>
      <c r="DA29" s="208"/>
      <c r="DB29" s="208"/>
      <c r="DC29" s="294"/>
      <c r="DD29" s="294"/>
      <c r="DE29" s="294"/>
      <c r="DF29" s="294"/>
      <c r="DG29" s="294"/>
      <c r="DH29" s="294"/>
      <c r="DI29" s="294"/>
      <c r="DJ29" s="294"/>
      <c r="DK29" s="294"/>
      <c r="DL29" s="294"/>
      <c r="DM29" s="294"/>
      <c r="DN29" s="208"/>
      <c r="DO29" s="208"/>
      <c r="DP29" s="294"/>
      <c r="DQ29" s="294"/>
      <c r="DR29" s="294"/>
      <c r="DS29" s="294"/>
      <c r="DT29" s="294"/>
      <c r="DU29" s="294"/>
      <c r="DV29" s="294"/>
      <c r="DW29" s="294"/>
      <c r="DX29" s="294"/>
      <c r="DY29" s="294"/>
      <c r="DZ29" s="294"/>
      <c r="EA29" s="208"/>
      <c r="EB29" s="208"/>
      <c r="EC29" s="294"/>
      <c r="ED29" s="294"/>
      <c r="EE29" s="294"/>
      <c r="EF29" s="294"/>
      <c r="EG29" s="294"/>
      <c r="EH29" s="294"/>
      <c r="EI29" s="294"/>
      <c r="EJ29" s="294"/>
      <c r="EK29" s="294"/>
      <c r="EL29" s="294"/>
      <c r="EM29" s="294"/>
      <c r="EN29" s="208"/>
      <c r="EO29" s="208"/>
      <c r="EP29" s="294"/>
      <c r="EQ29" s="294"/>
      <c r="ER29" s="294"/>
      <c r="ES29" s="294"/>
      <c r="ET29" s="294"/>
      <c r="EU29" s="294"/>
      <c r="EV29" s="294"/>
      <c r="EW29" s="294"/>
      <c r="EX29" s="294"/>
      <c r="EY29" s="294"/>
      <c r="EZ29" s="294"/>
      <c r="FA29" s="208"/>
      <c r="FB29" s="208"/>
      <c r="FC29" s="294"/>
      <c r="FD29" s="294"/>
      <c r="FE29" s="294"/>
      <c r="FF29" s="294"/>
      <c r="FG29" s="294"/>
      <c r="FH29" s="294"/>
      <c r="FI29" s="294"/>
      <c r="FJ29" s="294"/>
      <c r="FK29" s="294"/>
      <c r="FL29" s="294"/>
      <c r="FM29" s="294"/>
      <c r="FN29" s="208"/>
      <c r="FO29" s="208"/>
      <c r="FP29" s="294"/>
      <c r="FQ29" s="294"/>
      <c r="FR29" s="294"/>
      <c r="FS29" s="294"/>
      <c r="FT29" s="294"/>
      <c r="FU29" s="294"/>
      <c r="FV29" s="294"/>
      <c r="FW29" s="294"/>
      <c r="FX29" s="294"/>
      <c r="FY29" s="294"/>
      <c r="FZ29" s="294"/>
      <c r="GA29" s="208"/>
      <c r="GB29" s="208"/>
      <c r="GC29" s="294"/>
      <c r="GD29" s="294"/>
      <c r="GE29" s="294"/>
      <c r="GF29" s="294"/>
      <c r="GG29" s="294"/>
      <c r="GH29" s="294"/>
      <c r="GI29" s="294"/>
      <c r="GJ29" s="294"/>
      <c r="GK29" s="294"/>
      <c r="GL29" s="294"/>
      <c r="GM29" s="294"/>
      <c r="GN29" s="208"/>
      <c r="GO29" s="208"/>
      <c r="GP29" s="294"/>
      <c r="GQ29" s="294"/>
      <c r="GR29" s="294"/>
      <c r="GS29" s="294"/>
      <c r="GT29" s="294"/>
      <c r="GU29" s="294"/>
      <c r="GV29" s="294"/>
      <c r="GW29" s="294"/>
      <c r="GX29" s="294"/>
      <c r="GY29" s="294"/>
      <c r="GZ29" s="294"/>
      <c r="HA29" s="208"/>
      <c r="HB29" s="208"/>
      <c r="HC29" s="294"/>
      <c r="HD29" s="294"/>
      <c r="HE29" s="294"/>
      <c r="HF29" s="294"/>
      <c r="HG29" s="294"/>
      <c r="HH29" s="294"/>
      <c r="HI29" s="294"/>
      <c r="HJ29" s="294"/>
      <c r="HK29" s="294"/>
      <c r="HL29" s="294"/>
      <c r="HM29" s="294"/>
      <c r="HN29" s="208"/>
      <c r="HO29" s="208"/>
      <c r="HP29" s="294"/>
      <c r="HQ29" s="294"/>
      <c r="HR29" s="294"/>
      <c r="HS29" s="294"/>
      <c r="HT29" s="294"/>
      <c r="HU29" s="294"/>
      <c r="HV29" s="294"/>
      <c r="HW29" s="294"/>
      <c r="HX29" s="294"/>
      <c r="HY29" s="294"/>
      <c r="HZ29" s="294"/>
      <c r="IA29" s="208"/>
      <c r="IB29" s="208"/>
      <c r="IC29" s="294"/>
      <c r="ID29" s="294"/>
      <c r="IE29" s="294"/>
      <c r="IF29" s="294"/>
      <c r="IG29" s="294"/>
      <c r="IH29" s="294"/>
      <c r="II29" s="294"/>
      <c r="IJ29" s="294"/>
      <c r="IK29" s="294"/>
      <c r="IL29" s="294"/>
      <c r="IM29" s="294"/>
      <c r="IN29" s="208"/>
      <c r="IO29" s="208"/>
      <c r="IP29" s="294"/>
      <c r="IQ29" s="294"/>
      <c r="IR29" s="294"/>
      <c r="IS29" s="294"/>
      <c r="IT29" s="294"/>
      <c r="IU29" s="294"/>
      <c r="IV29" s="294"/>
    </row>
    <row r="30" spans="1:256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08"/>
      <c r="AB30" s="208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08"/>
      <c r="AO30" s="208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08"/>
      <c r="BB30" s="208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4"/>
      <c r="BN30" s="208"/>
      <c r="BO30" s="208"/>
      <c r="BP30" s="294"/>
      <c r="BQ30" s="294"/>
      <c r="BR30" s="294"/>
      <c r="BS30" s="294"/>
      <c r="BT30" s="294"/>
      <c r="BU30" s="294"/>
      <c r="BV30" s="294"/>
      <c r="BW30" s="294"/>
      <c r="BX30" s="294"/>
      <c r="BY30" s="294"/>
      <c r="BZ30" s="294"/>
      <c r="CA30" s="208"/>
      <c r="CB30" s="208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08"/>
      <c r="CO30" s="208"/>
      <c r="CP30" s="294"/>
      <c r="CQ30" s="294"/>
      <c r="CR30" s="294"/>
      <c r="CS30" s="294"/>
      <c r="CT30" s="294"/>
      <c r="CU30" s="294"/>
      <c r="CV30" s="294"/>
      <c r="CW30" s="294"/>
      <c r="CX30" s="294"/>
      <c r="CY30" s="294"/>
      <c r="CZ30" s="294"/>
      <c r="DA30" s="208"/>
      <c r="DB30" s="208"/>
      <c r="DC30" s="294"/>
      <c r="DD30" s="294"/>
      <c r="DE30" s="294"/>
      <c r="DF30" s="294"/>
      <c r="DG30" s="294"/>
      <c r="DH30" s="294"/>
      <c r="DI30" s="294"/>
      <c r="DJ30" s="294"/>
      <c r="DK30" s="294"/>
      <c r="DL30" s="294"/>
      <c r="DM30" s="294"/>
      <c r="DN30" s="208"/>
      <c r="DO30" s="208"/>
      <c r="DP30" s="294"/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208"/>
      <c r="EB30" s="208"/>
      <c r="EC30" s="294"/>
      <c r="ED30" s="294"/>
      <c r="EE30" s="294"/>
      <c r="EF30" s="294"/>
      <c r="EG30" s="294"/>
      <c r="EH30" s="294"/>
      <c r="EI30" s="294"/>
      <c r="EJ30" s="294"/>
      <c r="EK30" s="294"/>
      <c r="EL30" s="294"/>
      <c r="EM30" s="294"/>
      <c r="EN30" s="208"/>
      <c r="EO30" s="208"/>
      <c r="EP30" s="294"/>
      <c r="EQ30" s="294"/>
      <c r="ER30" s="294"/>
      <c r="ES30" s="294"/>
      <c r="ET30" s="294"/>
      <c r="EU30" s="294"/>
      <c r="EV30" s="294"/>
      <c r="EW30" s="294"/>
      <c r="EX30" s="294"/>
      <c r="EY30" s="294"/>
      <c r="EZ30" s="294"/>
      <c r="FA30" s="208"/>
      <c r="FB30" s="208"/>
      <c r="FC30" s="294"/>
      <c r="FD30" s="294"/>
      <c r="FE30" s="294"/>
      <c r="FF30" s="294"/>
      <c r="FG30" s="294"/>
      <c r="FH30" s="294"/>
      <c r="FI30" s="294"/>
      <c r="FJ30" s="294"/>
      <c r="FK30" s="294"/>
      <c r="FL30" s="294"/>
      <c r="FM30" s="294"/>
      <c r="FN30" s="208"/>
      <c r="FO30" s="208"/>
      <c r="FP30" s="294"/>
      <c r="FQ30" s="294"/>
      <c r="FR30" s="294"/>
      <c r="FS30" s="294"/>
      <c r="FT30" s="294"/>
      <c r="FU30" s="294"/>
      <c r="FV30" s="294"/>
      <c r="FW30" s="294"/>
      <c r="FX30" s="294"/>
      <c r="FY30" s="294"/>
      <c r="FZ30" s="294"/>
      <c r="GA30" s="208"/>
      <c r="GB30" s="208"/>
      <c r="GC30" s="294"/>
      <c r="GD30" s="294"/>
      <c r="GE30" s="294"/>
      <c r="GF30" s="294"/>
      <c r="GG30" s="294"/>
      <c r="GH30" s="294"/>
      <c r="GI30" s="294"/>
      <c r="GJ30" s="294"/>
      <c r="GK30" s="294"/>
      <c r="GL30" s="294"/>
      <c r="GM30" s="294"/>
      <c r="GN30" s="208"/>
      <c r="GO30" s="208"/>
      <c r="GP30" s="294"/>
      <c r="GQ30" s="294"/>
      <c r="GR30" s="294"/>
      <c r="GS30" s="294"/>
      <c r="GT30" s="294"/>
      <c r="GU30" s="294"/>
      <c r="GV30" s="294"/>
      <c r="GW30" s="294"/>
      <c r="GX30" s="294"/>
      <c r="GY30" s="294"/>
      <c r="GZ30" s="294"/>
      <c r="HA30" s="208"/>
      <c r="HB30" s="208"/>
      <c r="HC30" s="294"/>
      <c r="HD30" s="294"/>
      <c r="HE30" s="294"/>
      <c r="HF30" s="294"/>
      <c r="HG30" s="294"/>
      <c r="HH30" s="294"/>
      <c r="HI30" s="294"/>
      <c r="HJ30" s="294"/>
      <c r="HK30" s="294"/>
      <c r="HL30" s="294"/>
      <c r="HM30" s="294"/>
      <c r="HN30" s="208"/>
      <c r="HO30" s="208"/>
      <c r="HP30" s="294"/>
      <c r="HQ30" s="294"/>
      <c r="HR30" s="294"/>
      <c r="HS30" s="294"/>
      <c r="HT30" s="294"/>
      <c r="HU30" s="294"/>
      <c r="HV30" s="294"/>
      <c r="HW30" s="294"/>
      <c r="HX30" s="294"/>
      <c r="HY30" s="294"/>
      <c r="HZ30" s="294"/>
      <c r="IA30" s="208"/>
      <c r="IB30" s="208"/>
      <c r="IC30" s="294"/>
      <c r="ID30" s="294"/>
      <c r="IE30" s="294"/>
      <c r="IF30" s="294"/>
      <c r="IG30" s="294"/>
      <c r="IH30" s="294"/>
      <c r="II30" s="294"/>
      <c r="IJ30" s="294"/>
      <c r="IK30" s="294"/>
      <c r="IL30" s="294"/>
      <c r="IM30" s="294"/>
      <c r="IN30" s="208"/>
      <c r="IO30" s="208"/>
      <c r="IP30" s="294"/>
      <c r="IQ30" s="294"/>
      <c r="IR30" s="294"/>
      <c r="IS30" s="294"/>
      <c r="IT30" s="294"/>
      <c r="IU30" s="294"/>
      <c r="IV30" s="294"/>
    </row>
    <row r="31" spans="1:256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08"/>
      <c r="AB31" s="208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08"/>
      <c r="AO31" s="208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08"/>
      <c r="BB31" s="208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08"/>
      <c r="BO31" s="208"/>
      <c r="BP31" s="294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08"/>
      <c r="CB31" s="208"/>
      <c r="CC31" s="294"/>
      <c r="CD31" s="294"/>
      <c r="CE31" s="294"/>
      <c r="CF31" s="294"/>
      <c r="CG31" s="294"/>
      <c r="CH31" s="294"/>
      <c r="CI31" s="294"/>
      <c r="CJ31" s="294"/>
      <c r="CK31" s="294"/>
      <c r="CL31" s="294"/>
      <c r="CM31" s="294"/>
      <c r="CN31" s="208"/>
      <c r="CO31" s="208"/>
      <c r="CP31" s="294"/>
      <c r="CQ31" s="294"/>
      <c r="CR31" s="294"/>
      <c r="CS31" s="294"/>
      <c r="CT31" s="294"/>
      <c r="CU31" s="294"/>
      <c r="CV31" s="294"/>
      <c r="CW31" s="294"/>
      <c r="CX31" s="294"/>
      <c r="CY31" s="294"/>
      <c r="CZ31" s="294"/>
      <c r="DA31" s="208"/>
      <c r="DB31" s="208"/>
      <c r="DC31" s="294"/>
      <c r="DD31" s="294"/>
      <c r="DE31" s="294"/>
      <c r="DF31" s="294"/>
      <c r="DG31" s="294"/>
      <c r="DH31" s="294"/>
      <c r="DI31" s="294"/>
      <c r="DJ31" s="294"/>
      <c r="DK31" s="294"/>
      <c r="DL31" s="294"/>
      <c r="DM31" s="294"/>
      <c r="DN31" s="208"/>
      <c r="DO31" s="208"/>
      <c r="DP31" s="294"/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208"/>
      <c r="EB31" s="208"/>
      <c r="EC31" s="294"/>
      <c r="ED31" s="294"/>
      <c r="EE31" s="294"/>
      <c r="EF31" s="294"/>
      <c r="EG31" s="294"/>
      <c r="EH31" s="294"/>
      <c r="EI31" s="294"/>
      <c r="EJ31" s="294"/>
      <c r="EK31" s="294"/>
      <c r="EL31" s="294"/>
      <c r="EM31" s="294"/>
      <c r="EN31" s="208"/>
      <c r="EO31" s="208"/>
      <c r="EP31" s="294"/>
      <c r="EQ31" s="294"/>
      <c r="ER31" s="294"/>
      <c r="ES31" s="294"/>
      <c r="ET31" s="294"/>
      <c r="EU31" s="294"/>
      <c r="EV31" s="294"/>
      <c r="EW31" s="294"/>
      <c r="EX31" s="294"/>
      <c r="EY31" s="294"/>
      <c r="EZ31" s="294"/>
      <c r="FA31" s="208"/>
      <c r="FB31" s="208"/>
      <c r="FC31" s="294"/>
      <c r="FD31" s="294"/>
      <c r="FE31" s="294"/>
      <c r="FF31" s="294"/>
      <c r="FG31" s="294"/>
      <c r="FH31" s="294"/>
      <c r="FI31" s="294"/>
      <c r="FJ31" s="294"/>
      <c r="FK31" s="294"/>
      <c r="FL31" s="294"/>
      <c r="FM31" s="294"/>
      <c r="FN31" s="208"/>
      <c r="FO31" s="208"/>
      <c r="FP31" s="294"/>
      <c r="FQ31" s="294"/>
      <c r="FR31" s="294"/>
      <c r="FS31" s="294"/>
      <c r="FT31" s="294"/>
      <c r="FU31" s="294"/>
      <c r="FV31" s="294"/>
      <c r="FW31" s="294"/>
      <c r="FX31" s="294"/>
      <c r="FY31" s="294"/>
      <c r="FZ31" s="294"/>
      <c r="GA31" s="208"/>
      <c r="GB31" s="208"/>
      <c r="GC31" s="294"/>
      <c r="GD31" s="294"/>
      <c r="GE31" s="294"/>
      <c r="GF31" s="294"/>
      <c r="GG31" s="294"/>
      <c r="GH31" s="294"/>
      <c r="GI31" s="294"/>
      <c r="GJ31" s="294"/>
      <c r="GK31" s="294"/>
      <c r="GL31" s="294"/>
      <c r="GM31" s="294"/>
      <c r="GN31" s="208"/>
      <c r="GO31" s="208"/>
      <c r="GP31" s="294"/>
      <c r="GQ31" s="294"/>
      <c r="GR31" s="294"/>
      <c r="GS31" s="294"/>
      <c r="GT31" s="294"/>
      <c r="GU31" s="294"/>
      <c r="GV31" s="294"/>
      <c r="GW31" s="294"/>
      <c r="GX31" s="294"/>
      <c r="GY31" s="294"/>
      <c r="GZ31" s="294"/>
      <c r="HA31" s="208"/>
      <c r="HB31" s="208"/>
      <c r="HC31" s="294"/>
      <c r="HD31" s="294"/>
      <c r="HE31" s="294"/>
      <c r="HF31" s="294"/>
      <c r="HG31" s="294"/>
      <c r="HH31" s="294"/>
      <c r="HI31" s="294"/>
      <c r="HJ31" s="294"/>
      <c r="HK31" s="294"/>
      <c r="HL31" s="294"/>
      <c r="HM31" s="294"/>
      <c r="HN31" s="208"/>
      <c r="HO31" s="208"/>
      <c r="HP31" s="294"/>
      <c r="HQ31" s="294"/>
      <c r="HR31" s="294"/>
      <c r="HS31" s="294"/>
      <c r="HT31" s="294"/>
      <c r="HU31" s="294"/>
      <c r="HV31" s="294"/>
      <c r="HW31" s="294"/>
      <c r="HX31" s="294"/>
      <c r="HY31" s="294"/>
      <c r="HZ31" s="294"/>
      <c r="IA31" s="208"/>
      <c r="IB31" s="208"/>
      <c r="IC31" s="294"/>
      <c r="ID31" s="294"/>
      <c r="IE31" s="294"/>
      <c r="IF31" s="294"/>
      <c r="IG31" s="294"/>
      <c r="IH31" s="294"/>
      <c r="II31" s="294"/>
      <c r="IJ31" s="294"/>
      <c r="IK31" s="294"/>
      <c r="IL31" s="294"/>
      <c r="IM31" s="294"/>
      <c r="IN31" s="208"/>
      <c r="IO31" s="208"/>
      <c r="IP31" s="294"/>
      <c r="IQ31" s="294"/>
      <c r="IR31" s="294"/>
      <c r="IS31" s="294"/>
      <c r="IT31" s="294"/>
      <c r="IU31" s="294"/>
      <c r="IV31" s="294"/>
    </row>
    <row r="32" spans="1:256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08"/>
      <c r="AB38" s="208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08"/>
      <c r="AO38" s="208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08"/>
      <c r="BB38" s="208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08"/>
      <c r="BO38" s="208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08"/>
      <c r="CB38" s="208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08"/>
      <c r="CO38" s="208"/>
      <c r="CP38" s="294"/>
      <c r="CQ38" s="294"/>
      <c r="CR38" s="294"/>
      <c r="CS38" s="294"/>
      <c r="CT38" s="294"/>
      <c r="CU38" s="294"/>
      <c r="CV38" s="294"/>
      <c r="CW38" s="294"/>
      <c r="CX38" s="294"/>
      <c r="CY38" s="294"/>
      <c r="CZ38" s="294"/>
      <c r="DA38" s="208"/>
      <c r="DB38" s="208"/>
      <c r="DC38" s="294"/>
      <c r="DD38" s="294"/>
      <c r="DE38" s="294"/>
      <c r="DF38" s="294"/>
      <c r="DG38" s="294"/>
      <c r="DH38" s="294"/>
      <c r="DI38" s="294"/>
      <c r="DJ38" s="294"/>
      <c r="DK38" s="294"/>
      <c r="DL38" s="294"/>
      <c r="DM38" s="294"/>
      <c r="DN38" s="208"/>
      <c r="DO38" s="208"/>
      <c r="DP38" s="294"/>
      <c r="DQ38" s="294"/>
      <c r="DR38" s="294"/>
      <c r="DS38" s="294"/>
      <c r="DT38" s="294"/>
      <c r="DU38" s="294"/>
      <c r="DV38" s="294"/>
      <c r="DW38" s="294"/>
      <c r="DX38" s="294"/>
      <c r="DY38" s="294"/>
      <c r="DZ38" s="294"/>
      <c r="EA38" s="208"/>
      <c r="EB38" s="208"/>
      <c r="EC38" s="294"/>
      <c r="ED38" s="294"/>
      <c r="EE38" s="294"/>
      <c r="EF38" s="294"/>
      <c r="EG38" s="294"/>
      <c r="EH38" s="294"/>
      <c r="EI38" s="294"/>
      <c r="EJ38" s="294"/>
      <c r="EK38" s="294"/>
      <c r="EL38" s="294"/>
      <c r="EM38" s="294"/>
      <c r="EN38" s="208"/>
      <c r="EO38" s="208"/>
      <c r="EP38" s="294"/>
      <c r="EQ38" s="294"/>
      <c r="ER38" s="294"/>
      <c r="ES38" s="294"/>
      <c r="ET38" s="294"/>
      <c r="EU38" s="294"/>
      <c r="EV38" s="294"/>
      <c r="EW38" s="294"/>
      <c r="EX38" s="294"/>
      <c r="EY38" s="294"/>
      <c r="EZ38" s="294"/>
      <c r="FA38" s="208"/>
      <c r="FB38" s="208"/>
      <c r="FC38" s="294"/>
      <c r="FD38" s="294"/>
      <c r="FE38" s="294"/>
      <c r="FF38" s="294"/>
      <c r="FG38" s="294"/>
      <c r="FH38" s="294"/>
      <c r="FI38" s="294"/>
      <c r="FJ38" s="294"/>
      <c r="FK38" s="294"/>
      <c r="FL38" s="294"/>
      <c r="FM38" s="294"/>
      <c r="FN38" s="208"/>
      <c r="FO38" s="208"/>
      <c r="FP38" s="294"/>
      <c r="FQ38" s="294"/>
      <c r="FR38" s="294"/>
      <c r="FS38" s="294"/>
      <c r="FT38" s="294"/>
      <c r="FU38" s="294"/>
      <c r="FV38" s="294"/>
      <c r="FW38" s="294"/>
      <c r="FX38" s="294"/>
      <c r="FY38" s="294"/>
      <c r="FZ38" s="294"/>
      <c r="GA38" s="208"/>
      <c r="GB38" s="208"/>
      <c r="GC38" s="294"/>
      <c r="GD38" s="294"/>
      <c r="GE38" s="294"/>
      <c r="GF38" s="294"/>
      <c r="GG38" s="294"/>
      <c r="GH38" s="294"/>
      <c r="GI38" s="294"/>
      <c r="GJ38" s="294"/>
      <c r="GK38" s="294"/>
      <c r="GL38" s="294"/>
      <c r="GM38" s="294"/>
      <c r="GN38" s="208"/>
      <c r="GO38" s="208"/>
      <c r="GP38" s="294"/>
      <c r="GQ38" s="294"/>
      <c r="GR38" s="294"/>
      <c r="GS38" s="294"/>
      <c r="GT38" s="294"/>
      <c r="GU38" s="294"/>
      <c r="GV38" s="294"/>
      <c r="GW38" s="294"/>
      <c r="GX38" s="294"/>
      <c r="GY38" s="294"/>
      <c r="GZ38" s="294"/>
      <c r="HA38" s="208"/>
      <c r="HB38" s="208"/>
      <c r="HC38" s="294"/>
      <c r="HD38" s="294"/>
      <c r="HE38" s="294"/>
      <c r="HF38" s="294"/>
      <c r="HG38" s="294"/>
      <c r="HH38" s="294"/>
      <c r="HI38" s="294"/>
      <c r="HJ38" s="294"/>
      <c r="HK38" s="294"/>
      <c r="HL38" s="294"/>
      <c r="HM38" s="294"/>
      <c r="HN38" s="208"/>
      <c r="HO38" s="208"/>
      <c r="HP38" s="294"/>
      <c r="HQ38" s="294"/>
      <c r="HR38" s="294"/>
      <c r="HS38" s="294"/>
      <c r="HT38" s="294"/>
      <c r="HU38" s="294"/>
      <c r="HV38" s="294"/>
      <c r="HW38" s="294"/>
      <c r="HX38" s="294"/>
      <c r="HY38" s="294"/>
      <c r="HZ38" s="294"/>
      <c r="IA38" s="208"/>
      <c r="IB38" s="208"/>
      <c r="IC38" s="294"/>
      <c r="ID38" s="294"/>
      <c r="IE38" s="294"/>
      <c r="IF38" s="294"/>
      <c r="IG38" s="294"/>
      <c r="IH38" s="294"/>
      <c r="II38" s="294"/>
      <c r="IJ38" s="294"/>
      <c r="IK38" s="294"/>
      <c r="IL38" s="294"/>
      <c r="IM38" s="294"/>
      <c r="IN38" s="208"/>
      <c r="IO38" s="208"/>
      <c r="IP38" s="294"/>
      <c r="IQ38" s="294"/>
      <c r="IR38" s="294"/>
      <c r="IS38" s="294"/>
      <c r="IT38" s="294"/>
      <c r="IU38" s="294"/>
      <c r="IV38" s="294"/>
    </row>
    <row r="39" spans="1:256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08"/>
      <c r="AB39" s="208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08"/>
      <c r="AO39" s="208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08"/>
      <c r="BB39" s="208"/>
      <c r="BC39" s="294"/>
      <c r="BD39" s="294"/>
      <c r="BE39" s="294"/>
      <c r="BF39" s="294"/>
      <c r="BG39" s="294"/>
      <c r="BH39" s="294"/>
      <c r="BI39" s="294"/>
      <c r="BJ39" s="294"/>
      <c r="BK39" s="294"/>
      <c r="BL39" s="294"/>
      <c r="BM39" s="294"/>
      <c r="BN39" s="208"/>
      <c r="BO39" s="208"/>
      <c r="BP39" s="294"/>
      <c r="BQ39" s="294"/>
      <c r="BR39" s="294"/>
      <c r="BS39" s="294"/>
      <c r="BT39" s="294"/>
      <c r="BU39" s="294"/>
      <c r="BV39" s="294"/>
      <c r="BW39" s="294"/>
      <c r="BX39" s="294"/>
      <c r="BY39" s="294"/>
      <c r="BZ39" s="294"/>
      <c r="CA39" s="208"/>
      <c r="CB39" s="208"/>
      <c r="CC39" s="294"/>
      <c r="CD39" s="294"/>
      <c r="CE39" s="294"/>
      <c r="CF39" s="294"/>
      <c r="CG39" s="294"/>
      <c r="CH39" s="294"/>
      <c r="CI39" s="294"/>
      <c r="CJ39" s="294"/>
      <c r="CK39" s="294"/>
      <c r="CL39" s="294"/>
      <c r="CM39" s="294"/>
      <c r="CN39" s="208"/>
      <c r="CO39" s="208"/>
      <c r="CP39" s="294"/>
      <c r="CQ39" s="294"/>
      <c r="CR39" s="294"/>
      <c r="CS39" s="294"/>
      <c r="CT39" s="294"/>
      <c r="CU39" s="294"/>
      <c r="CV39" s="294"/>
      <c r="CW39" s="294"/>
      <c r="CX39" s="294"/>
      <c r="CY39" s="294"/>
      <c r="CZ39" s="294"/>
      <c r="DA39" s="208"/>
      <c r="DB39" s="208"/>
      <c r="DC39" s="294"/>
      <c r="DD39" s="294"/>
      <c r="DE39" s="294"/>
      <c r="DF39" s="294"/>
      <c r="DG39" s="294"/>
      <c r="DH39" s="294"/>
      <c r="DI39" s="294"/>
      <c r="DJ39" s="294"/>
      <c r="DK39" s="294"/>
      <c r="DL39" s="294"/>
      <c r="DM39" s="294"/>
      <c r="DN39" s="208"/>
      <c r="DO39" s="208"/>
      <c r="DP39" s="294"/>
      <c r="DQ39" s="294"/>
      <c r="DR39" s="294"/>
      <c r="DS39" s="294"/>
      <c r="DT39" s="294"/>
      <c r="DU39" s="294"/>
      <c r="DV39" s="294"/>
      <c r="DW39" s="294"/>
      <c r="DX39" s="294"/>
      <c r="DY39" s="294"/>
      <c r="DZ39" s="294"/>
      <c r="EA39" s="208"/>
      <c r="EB39" s="208"/>
      <c r="EC39" s="294"/>
      <c r="ED39" s="294"/>
      <c r="EE39" s="294"/>
      <c r="EF39" s="294"/>
      <c r="EG39" s="294"/>
      <c r="EH39" s="294"/>
      <c r="EI39" s="294"/>
      <c r="EJ39" s="294"/>
      <c r="EK39" s="294"/>
      <c r="EL39" s="294"/>
      <c r="EM39" s="294"/>
      <c r="EN39" s="208"/>
      <c r="EO39" s="208"/>
      <c r="EP39" s="294"/>
      <c r="EQ39" s="294"/>
      <c r="ER39" s="294"/>
      <c r="ES39" s="294"/>
      <c r="ET39" s="294"/>
      <c r="EU39" s="294"/>
      <c r="EV39" s="294"/>
      <c r="EW39" s="294"/>
      <c r="EX39" s="294"/>
      <c r="EY39" s="294"/>
      <c r="EZ39" s="294"/>
      <c r="FA39" s="208"/>
      <c r="FB39" s="208"/>
      <c r="FC39" s="294"/>
      <c r="FD39" s="294"/>
      <c r="FE39" s="294"/>
      <c r="FF39" s="294"/>
      <c r="FG39" s="294"/>
      <c r="FH39" s="294"/>
      <c r="FI39" s="294"/>
      <c r="FJ39" s="294"/>
      <c r="FK39" s="294"/>
      <c r="FL39" s="294"/>
      <c r="FM39" s="294"/>
      <c r="FN39" s="208"/>
      <c r="FO39" s="208"/>
      <c r="FP39" s="294"/>
      <c r="FQ39" s="294"/>
      <c r="FR39" s="294"/>
      <c r="FS39" s="294"/>
      <c r="FT39" s="294"/>
      <c r="FU39" s="294"/>
      <c r="FV39" s="294"/>
      <c r="FW39" s="294"/>
      <c r="FX39" s="294"/>
      <c r="FY39" s="294"/>
      <c r="FZ39" s="294"/>
      <c r="GA39" s="208"/>
      <c r="GB39" s="208"/>
      <c r="GC39" s="294"/>
      <c r="GD39" s="294"/>
      <c r="GE39" s="294"/>
      <c r="GF39" s="294"/>
      <c r="GG39" s="294"/>
      <c r="GH39" s="294"/>
      <c r="GI39" s="294"/>
      <c r="GJ39" s="294"/>
      <c r="GK39" s="294"/>
      <c r="GL39" s="294"/>
      <c r="GM39" s="294"/>
      <c r="GN39" s="208"/>
      <c r="GO39" s="208"/>
      <c r="GP39" s="294"/>
      <c r="GQ39" s="294"/>
      <c r="GR39" s="294"/>
      <c r="GS39" s="294"/>
      <c r="GT39" s="294"/>
      <c r="GU39" s="294"/>
      <c r="GV39" s="294"/>
      <c r="GW39" s="294"/>
      <c r="GX39" s="294"/>
      <c r="GY39" s="294"/>
      <c r="GZ39" s="294"/>
      <c r="HA39" s="208"/>
      <c r="HB39" s="208"/>
      <c r="HC39" s="294"/>
      <c r="HD39" s="294"/>
      <c r="HE39" s="294"/>
      <c r="HF39" s="294"/>
      <c r="HG39" s="294"/>
      <c r="HH39" s="294"/>
      <c r="HI39" s="294"/>
      <c r="HJ39" s="294"/>
      <c r="HK39" s="294"/>
      <c r="HL39" s="294"/>
      <c r="HM39" s="294"/>
      <c r="HN39" s="208"/>
      <c r="HO39" s="208"/>
      <c r="HP39" s="294"/>
      <c r="HQ39" s="294"/>
      <c r="HR39" s="294"/>
      <c r="HS39" s="294"/>
      <c r="HT39" s="294"/>
      <c r="HU39" s="294"/>
      <c r="HV39" s="294"/>
      <c r="HW39" s="294"/>
      <c r="HX39" s="294"/>
      <c r="HY39" s="294"/>
      <c r="HZ39" s="294"/>
      <c r="IA39" s="208"/>
      <c r="IB39" s="208"/>
      <c r="IC39" s="294"/>
      <c r="ID39" s="294"/>
      <c r="IE39" s="294"/>
      <c r="IF39" s="294"/>
      <c r="IG39" s="294"/>
      <c r="IH39" s="294"/>
      <c r="II39" s="294"/>
      <c r="IJ39" s="294"/>
      <c r="IK39" s="294"/>
      <c r="IL39" s="294"/>
      <c r="IM39" s="294"/>
      <c r="IN39" s="208"/>
      <c r="IO39" s="208"/>
      <c r="IP39" s="294"/>
      <c r="IQ39" s="294"/>
      <c r="IR39" s="294"/>
      <c r="IS39" s="294"/>
      <c r="IT39" s="294"/>
      <c r="IU39" s="294"/>
      <c r="IV39" s="294"/>
    </row>
    <row r="40" spans="1:256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08"/>
      <c r="AB40" s="208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08"/>
      <c r="AO40" s="208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08"/>
      <c r="BB40" s="208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08"/>
      <c r="BO40" s="208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08"/>
      <c r="CB40" s="208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08"/>
      <c r="CO40" s="208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08"/>
      <c r="DB40" s="208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08"/>
      <c r="DO40" s="208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08"/>
      <c r="EB40" s="208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08"/>
      <c r="EO40" s="208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08"/>
      <c r="FB40" s="208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08"/>
      <c r="FO40" s="208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08"/>
      <c r="GB40" s="208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08"/>
      <c r="GO40" s="208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08"/>
      <c r="HB40" s="208"/>
      <c r="HC40" s="294"/>
      <c r="HD40" s="294"/>
      <c r="HE40" s="294"/>
      <c r="HF40" s="294"/>
      <c r="HG40" s="294"/>
      <c r="HH40" s="294"/>
      <c r="HI40" s="294"/>
      <c r="HJ40" s="294"/>
      <c r="HK40" s="294"/>
      <c r="HL40" s="294"/>
      <c r="HM40" s="294"/>
      <c r="HN40" s="208"/>
      <c r="HO40" s="208"/>
      <c r="HP40" s="294"/>
      <c r="HQ40" s="294"/>
      <c r="HR40" s="294"/>
      <c r="HS40" s="294"/>
      <c r="HT40" s="294"/>
      <c r="HU40" s="294"/>
      <c r="HV40" s="294"/>
      <c r="HW40" s="294"/>
      <c r="HX40" s="294"/>
      <c r="HY40" s="294"/>
      <c r="HZ40" s="294"/>
      <c r="IA40" s="208"/>
      <c r="IB40" s="208"/>
      <c r="IC40" s="294"/>
      <c r="ID40" s="294"/>
      <c r="IE40" s="294"/>
      <c r="IF40" s="294"/>
      <c r="IG40" s="294"/>
      <c r="IH40" s="294"/>
      <c r="II40" s="294"/>
      <c r="IJ40" s="294"/>
      <c r="IK40" s="294"/>
      <c r="IL40" s="294"/>
      <c r="IM40" s="294"/>
      <c r="IN40" s="208"/>
      <c r="IO40" s="208"/>
      <c r="IP40" s="294"/>
      <c r="IQ40" s="294"/>
      <c r="IR40" s="294"/>
      <c r="IS40" s="294"/>
      <c r="IT40" s="294"/>
      <c r="IU40" s="294"/>
      <c r="IV40" s="294"/>
    </row>
    <row r="41" spans="1:256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>
      <c r="A70" s="221"/>
      <c r="B70" s="222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86" t="s">
        <v>848</v>
      </c>
      <c r="B72" s="286"/>
      <c r="C72" s="286"/>
      <c r="D72" s="286"/>
      <c r="E72" s="286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>
      <c r="A74" s="212"/>
      <c r="B74" s="212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>
      <c r="A75" s="212"/>
      <c r="B75" s="212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>
      <c r="A76" s="212"/>
      <c r="B76" s="212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>
      <c r="A77" s="212"/>
      <c r="B77" s="212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>
      <c r="A78" s="212"/>
      <c r="B78" s="212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>
      <c r="A79" s="212"/>
      <c r="B79" s="212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>
      <c r="A80" s="212"/>
      <c r="B80" s="212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>
      <c r="A81" s="212"/>
      <c r="B81" s="212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>
      <c r="A82" s="212"/>
      <c r="B82" s="212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>
      <c r="A83" s="212"/>
      <c r="B83" s="212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>
      <c r="A84" s="212"/>
      <c r="B84" s="212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>
      <c r="A85" s="212"/>
      <c r="B85" s="212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>
      <c r="A86" s="212"/>
      <c r="B86" s="212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>
      <c r="A87" s="212"/>
      <c r="B87" s="212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>
      <c r="A88" s="212"/>
      <c r="B88" s="212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>
      <c r="A89" s="212"/>
      <c r="B89" s="212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>
      <c r="A90" s="212"/>
      <c r="B90" s="212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2012-11-13T17:48:36Z</cp:lastPrinted>
  <dcterms:created xsi:type="dcterms:W3CDTF">1997-12-04T19:04:30Z</dcterms:created>
  <dcterms:modified xsi:type="dcterms:W3CDTF">2012-11-21T15:03:04Z</dcterms:modified>
</cp:coreProperties>
</file>