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3" i="1" l="1"/>
  <c r="H197" i="1"/>
  <c r="F145" i="1"/>
  <c r="F118" i="1"/>
  <c r="H610" i="1" l="1"/>
  <c r="H612" i="1"/>
  <c r="I612" i="1"/>
  <c r="I610" i="1"/>
  <c r="G612" i="1"/>
  <c r="G610" i="1"/>
  <c r="F612" i="1"/>
  <c r="F610" i="1"/>
  <c r="C12" i="12"/>
  <c r="C11" i="12"/>
  <c r="C10" i="12"/>
  <c r="C21" i="12"/>
  <c r="C20" i="12"/>
  <c r="C19" i="12"/>
  <c r="H196" i="1"/>
  <c r="H232" i="1"/>
  <c r="G232" i="1"/>
  <c r="G242" i="1"/>
  <c r="G240" i="1"/>
  <c r="G239" i="1"/>
  <c r="G238" i="1"/>
  <c r="G237" i="1"/>
  <c r="G233" i="1"/>
  <c r="G206" i="1"/>
  <c r="G204" i="1"/>
  <c r="G203" i="1"/>
  <c r="G202" i="1"/>
  <c r="G201" i="1"/>
  <c r="G197" i="1"/>
  <c r="G196" i="1"/>
  <c r="J242" i="1"/>
  <c r="J206" i="1"/>
  <c r="J196" i="1"/>
  <c r="J232" i="1"/>
  <c r="G235" i="1"/>
  <c r="G199" i="1"/>
  <c r="F240" i="1"/>
  <c r="F202" i="1"/>
  <c r="F238" i="1"/>
  <c r="F233" i="1"/>
  <c r="F197" i="1"/>
  <c r="F232" i="1"/>
  <c r="F196" i="1"/>
  <c r="F204" i="1"/>
  <c r="F242" i="1"/>
  <c r="F206" i="1"/>
  <c r="F235" i="1"/>
  <c r="F199" i="1"/>
  <c r="F201" i="1"/>
  <c r="F237" i="1"/>
  <c r="F239" i="1"/>
  <c r="F203" i="1"/>
  <c r="H242" i="1" l="1"/>
  <c r="H206" i="1"/>
  <c r="H237" i="1"/>
  <c r="H239" i="1"/>
  <c r="H244" i="1"/>
  <c r="H243" i="1"/>
  <c r="H240" i="1"/>
  <c r="H238" i="1"/>
  <c r="H235" i="1"/>
  <c r="H208" i="1"/>
  <c r="H207" i="1"/>
  <c r="H203" i="1"/>
  <c r="H204" i="1"/>
  <c r="H202" i="1"/>
  <c r="H201" i="1"/>
  <c r="H199" i="1"/>
  <c r="I233" i="1" l="1"/>
  <c r="I232" i="1"/>
  <c r="I242" i="1"/>
  <c r="I239" i="1"/>
  <c r="I238" i="1"/>
  <c r="I237" i="1"/>
  <c r="I203" i="1"/>
  <c r="I206" i="1"/>
  <c r="I204" i="1"/>
  <c r="I202" i="1"/>
  <c r="I201" i="1"/>
  <c r="I197" i="1"/>
  <c r="I196" i="1"/>
  <c r="J238" i="1"/>
  <c r="J233" i="1"/>
  <c r="J202" i="1"/>
  <c r="J197" i="1"/>
  <c r="K197" i="1"/>
  <c r="K233" i="1"/>
  <c r="H275" i="1"/>
  <c r="H313" i="1"/>
  <c r="H314" i="1"/>
  <c r="J313" i="1"/>
  <c r="J314" i="1"/>
  <c r="J276" i="1"/>
  <c r="J275" i="1"/>
  <c r="I313" i="1"/>
  <c r="G314" i="1"/>
  <c r="G276" i="1"/>
  <c r="H467" i="1"/>
  <c r="H471" i="1"/>
  <c r="I314" i="1"/>
  <c r="I276" i="1"/>
  <c r="H276" i="1"/>
  <c r="I275" i="1"/>
  <c r="F471" i="1"/>
  <c r="F467" i="1"/>
  <c r="F49" i="1"/>
  <c r="C37" i="12"/>
  <c r="B20" i="12"/>
  <c r="B19" i="12"/>
  <c r="B21" i="12"/>
  <c r="B12" i="12"/>
  <c r="B10" i="12"/>
  <c r="B11" i="12"/>
  <c r="J603" i="1" l="1"/>
  <c r="H603" i="1"/>
  <c r="J235" i="1"/>
  <c r="J204" i="1"/>
  <c r="J520" i="1"/>
  <c r="I522" i="1"/>
  <c r="I520" i="1"/>
  <c r="H522" i="1"/>
  <c r="H520" i="1"/>
  <c r="G522" i="1"/>
  <c r="G520" i="1"/>
  <c r="F522" i="1"/>
  <c r="F520" i="1"/>
  <c r="H527" i="1"/>
  <c r="H525" i="1"/>
  <c r="G527" i="1"/>
  <c r="G525" i="1"/>
  <c r="F527" i="1"/>
  <c r="F525" i="1"/>
  <c r="H590" i="1" l="1"/>
  <c r="J590" i="1"/>
  <c r="J467" i="1"/>
  <c r="D11" i="13" l="1"/>
  <c r="H581" i="1"/>
  <c r="F581" i="1"/>
  <c r="H584" i="1"/>
  <c r="H579" i="1"/>
  <c r="J594" i="1"/>
  <c r="H594" i="1"/>
  <c r="J593" i="1"/>
  <c r="J591" i="1"/>
  <c r="H591" i="1"/>
  <c r="H542" i="1"/>
  <c r="H540" i="1"/>
  <c r="K532" i="1"/>
  <c r="K530" i="1"/>
  <c r="I532" i="1"/>
  <c r="I530" i="1"/>
  <c r="H530" i="1"/>
  <c r="H532" i="1"/>
  <c r="H535" i="1"/>
  <c r="H537" i="1"/>
  <c r="G532" i="1"/>
  <c r="G530" i="1"/>
  <c r="F532" i="1"/>
  <c r="F530" i="1"/>
  <c r="H357" i="1"/>
  <c r="K275" i="1"/>
  <c r="G275" i="1"/>
  <c r="F275" i="1"/>
  <c r="H319" i="1"/>
  <c r="H281" i="1"/>
  <c r="F314" i="1"/>
  <c r="F276" i="1"/>
  <c r="F313" i="1" l="1"/>
  <c r="G313" i="1"/>
  <c r="I243" i="1"/>
  <c r="I207" i="1"/>
  <c r="K239" i="1" l="1"/>
  <c r="K203" i="1"/>
  <c r="I240" i="1" l="1"/>
  <c r="K235" i="1"/>
  <c r="I235" i="1"/>
  <c r="H234" i="1"/>
  <c r="K232" i="1"/>
  <c r="K204" i="1" l="1"/>
  <c r="I199" i="1"/>
  <c r="K196" i="1" l="1"/>
  <c r="H158" i="1"/>
  <c r="H154" i="1"/>
  <c r="H153" i="1"/>
  <c r="H101" i="1"/>
  <c r="G96" i="1"/>
  <c r="F56" i="1"/>
  <c r="H14" i="1"/>
  <c r="H13" i="1"/>
  <c r="G48" i="1"/>
  <c r="F14" i="1"/>
  <c r="F13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8" i="1"/>
  <c r="L199" i="1"/>
  <c r="L214" i="1"/>
  <c r="L215" i="1"/>
  <c r="L216" i="1"/>
  <c r="L217" i="1"/>
  <c r="L232" i="1"/>
  <c r="L233" i="1"/>
  <c r="L234" i="1"/>
  <c r="L235" i="1"/>
  <c r="C13" i="10" s="1"/>
  <c r="F6" i="13"/>
  <c r="G6" i="13"/>
  <c r="L201" i="1"/>
  <c r="L219" i="1"/>
  <c r="L237" i="1"/>
  <c r="C117" i="2" s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F661" i="1" s="1"/>
  <c r="L225" i="1"/>
  <c r="L243" i="1"/>
  <c r="H646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E129" i="2" s="1"/>
  <c r="E143" i="2" s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C84" i="2" s="1"/>
  <c r="C90" i="2" s="1"/>
  <c r="F161" i="1"/>
  <c r="G146" i="1"/>
  <c r="G161" i="1"/>
  <c r="G168" i="1" s="1"/>
  <c r="H146" i="1"/>
  <c r="H161" i="1"/>
  <c r="I146" i="1"/>
  <c r="I161" i="1"/>
  <c r="C12" i="10"/>
  <c r="C15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G660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E119" i="2"/>
  <c r="E120" i="2"/>
  <c r="C121" i="2"/>
  <c r="E121" i="2"/>
  <c r="C122" i="2"/>
  <c r="E122" i="2"/>
  <c r="E123" i="2"/>
  <c r="E124" i="2"/>
  <c r="D126" i="2"/>
  <c r="D127" i="2" s="1"/>
  <c r="F127" i="2"/>
  <c r="G127" i="2"/>
  <c r="C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I256" i="1" s="1"/>
  <c r="I270" i="1" s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G613" i="1"/>
  <c r="H613" i="1"/>
  <c r="I613" i="1"/>
  <c r="J613" i="1"/>
  <c r="K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K256" i="1"/>
  <c r="K270" i="1" s="1"/>
  <c r="G163" i="2"/>
  <c r="G159" i="2"/>
  <c r="C18" i="2"/>
  <c r="F31" i="2"/>
  <c r="C26" i="10"/>
  <c r="L350" i="1"/>
  <c r="A31" i="12"/>
  <c r="C69" i="2"/>
  <c r="G8" i="2"/>
  <c r="G161" i="2"/>
  <c r="D61" i="2"/>
  <c r="D62" i="2" s="1"/>
  <c r="E49" i="2"/>
  <c r="D18" i="13"/>
  <c r="C18" i="13" s="1"/>
  <c r="F102" i="2"/>
  <c r="D18" i="2"/>
  <c r="E18" i="2"/>
  <c r="D17" i="13"/>
  <c r="C17" i="13" s="1"/>
  <c r="D6" i="13"/>
  <c r="C6" i="13" s="1"/>
  <c r="G158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19" i="13"/>
  <c r="C19" i="13" s="1"/>
  <c r="E13" i="13"/>
  <c r="C13" i="13" s="1"/>
  <c r="J616" i="1"/>
  <c r="A40" i="12" l="1"/>
  <c r="C18" i="10"/>
  <c r="G256" i="1"/>
  <c r="G270" i="1" s="1"/>
  <c r="C124" i="2"/>
  <c r="I661" i="1"/>
  <c r="D15" i="13"/>
  <c r="C15" i="13" s="1"/>
  <c r="G648" i="1"/>
  <c r="C123" i="2"/>
  <c r="C108" i="2"/>
  <c r="D12" i="13"/>
  <c r="C12" i="13" s="1"/>
  <c r="C120" i="2"/>
  <c r="C10" i="10"/>
  <c r="L528" i="1"/>
  <c r="F544" i="1"/>
  <c r="K433" i="1"/>
  <c r="G133" i="2" s="1"/>
  <c r="G143" i="2" s="1"/>
  <c r="G144" i="2" s="1"/>
  <c r="F660" i="1"/>
  <c r="D29" i="13"/>
  <c r="C29" i="13" s="1"/>
  <c r="G634" i="1"/>
  <c r="J634" i="1" s="1"/>
  <c r="H660" i="1"/>
  <c r="E108" i="2"/>
  <c r="E114" i="2" s="1"/>
  <c r="C16" i="10"/>
  <c r="L289" i="1"/>
  <c r="E118" i="2"/>
  <c r="E127" i="2" s="1"/>
  <c r="L327" i="1"/>
  <c r="J337" i="1"/>
  <c r="J351" i="1" s="1"/>
  <c r="I337" i="1"/>
  <c r="I351" i="1" s="1"/>
  <c r="C17" i="10"/>
  <c r="E8" i="13"/>
  <c r="C8" i="13" s="1"/>
  <c r="D14" i="13"/>
  <c r="C14" i="13" s="1"/>
  <c r="C118" i="2"/>
  <c r="L246" i="1"/>
  <c r="J648" i="1"/>
  <c r="D7" i="13"/>
  <c r="C7" i="13" s="1"/>
  <c r="G33" i="13"/>
  <c r="I191" i="1"/>
  <c r="F139" i="1"/>
  <c r="J641" i="1"/>
  <c r="D50" i="2"/>
  <c r="C80" i="2"/>
  <c r="C103" i="2" s="1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C39" i="10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C36" i="10" s="1"/>
  <c r="L308" i="1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F143" i="2"/>
  <c r="F144" i="2" s="1"/>
  <c r="J270" i="1" l="1"/>
  <c r="C127" i="2"/>
  <c r="J647" i="1"/>
  <c r="H659" i="1"/>
  <c r="H663" i="1" s="1"/>
  <c r="H671" i="1" s="1"/>
  <c r="C6" i="10" s="1"/>
  <c r="K551" i="1"/>
  <c r="E144" i="2"/>
  <c r="F192" i="1"/>
  <c r="G626" i="1" s="1"/>
  <c r="J626" i="1" s="1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41" i="10"/>
  <c r="D39" i="10" s="1"/>
  <c r="H666" i="1" l="1"/>
  <c r="G636" i="1"/>
  <c r="J636" i="1" s="1"/>
  <c r="H645" i="1"/>
  <c r="J645" i="1" s="1"/>
  <c r="G663" i="1"/>
  <c r="D37" i="10"/>
  <c r="D35" i="10"/>
  <c r="D40" i="10"/>
  <c r="D36" i="10"/>
  <c r="D38" i="10"/>
  <c r="J625" i="1"/>
  <c r="D41" i="10" l="1"/>
  <c r="G671" i="1"/>
  <c r="G666" i="1"/>
  <c r="F210" i="1"/>
  <c r="F256" i="1" s="1"/>
  <c r="F270" i="1" s="1"/>
  <c r="B18" i="12"/>
  <c r="A22" i="12" s="1"/>
  <c r="L197" i="1"/>
  <c r="C11" i="10" s="1"/>
  <c r="C28" i="10" s="1"/>
  <c r="D5" i="13" l="1"/>
  <c r="C5" i="13" s="1"/>
  <c r="L210" i="1"/>
  <c r="L256" i="1" s="1"/>
  <c r="L270" i="1" s="1"/>
  <c r="G631" i="1" s="1"/>
  <c r="H655" i="1" s="1"/>
  <c r="C109" i="2"/>
  <c r="C114" i="2" s="1"/>
  <c r="C144" i="2" s="1"/>
  <c r="J631" i="1"/>
  <c r="D25" i="10"/>
  <c r="D17" i="10"/>
  <c r="D21" i="10"/>
  <c r="D26" i="10"/>
  <c r="D23" i="10"/>
  <c r="D19" i="10"/>
  <c r="D22" i="10"/>
  <c r="D18" i="10"/>
  <c r="D27" i="10"/>
  <c r="D16" i="10"/>
  <c r="D24" i="10"/>
  <c r="D13" i="10"/>
  <c r="D15" i="10"/>
  <c r="D12" i="10"/>
  <c r="C30" i="10"/>
  <c r="D20" i="10"/>
  <c r="D10" i="10"/>
  <c r="F659" i="1"/>
  <c r="D11" i="10"/>
  <c r="D33" i="13" l="1"/>
  <c r="D36" i="13" s="1"/>
  <c r="D28" i="10"/>
  <c r="I659" i="1"/>
  <c r="F613" i="1"/>
  <c r="L610" i="1"/>
  <c r="L613" i="1" s="1"/>
  <c r="F662" i="1"/>
  <c r="I662" i="1" s="1"/>
  <c r="I663" i="1" l="1"/>
  <c r="I666" i="1" s="1"/>
  <c r="F663" i="1"/>
  <c r="I671" i="1" l="1"/>
  <c r="C7" i="10" s="1"/>
  <c r="F666" i="1"/>
  <c r="F671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<sst xmlns="http://schemas.openxmlformats.org/spreadsheetml/2006/main" count="3949" uniqueCount="910">
  <si>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</si>
  <si>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</si>
  <si>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</si>
  <si>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</si>
  <si>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</si>
  <si>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</si>
  <si>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</si>
  <si>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</si>
  <si>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</si>
  <si>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</si>
  <si>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</si>
  <si>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</si>
  <si>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</si>
  <si>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</si>
  <si>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</si>
  <si>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</si>
  <si>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</si>
  <si>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</si>
  <si>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</si>
  <si>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</si>
  <si>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</si>
  <si>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</si>
  <si>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</si>
  <si>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</si>
  <si>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</si>
  <si>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</si>
  <si>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</si>
  <si>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</si>
  <si>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</si>
  <si>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</si>
  <si>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</si>
  <si>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</si>
  <si>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</si>
  <si>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</si>
  <si>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</si>
  <si>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</si>
  <si>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</si>
  <si>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</si>
  <si>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</si>
  <si>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</si>
  <si>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</si>
  <si>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</si>
  <si>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</si>
  <si>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</si>
  <si>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</si>
  <si>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</si>
  <si>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</si>
  <si>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</si>
  <si>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</si>
  <si>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</si>
  <si>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</si>
  <si>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</si>
  <si>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</si>
  <si>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</si>
  <si>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</si>
  <si>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</si>
  <si>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</si>
  <si>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</si>
  <si>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</si>
  <si>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</si>
  <si>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</si>
  <si>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</si>
  <si>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</si>
  <si>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</si>
  <si>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</si>
  <si>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</si>
  <si>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</si>
  <si>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</si>
  <si>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</si>
  <si>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</si>
  <si>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</si>
  <si>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</si>
  <si>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</si>
  <si>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</si>
  <si>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</si>
  <si>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</si>
  <si>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</si>
  <si>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</si>
  <si>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</si>
  <si>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</si>
  <si>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</si>
  <si>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</si>
  <si>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</si>
  <si>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</si>
  <si>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</si>
  <si>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</si>
  <si>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</si>
  <si>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</si>
  <si>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</si>
  <si>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</si>
  <si>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</si>
  <si>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</si>
  <si>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</si>
  <si>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</si>
  <si>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</si>
  <si>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</si>
  <si>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</si>
  <si>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</si>
  <si>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</si>
  <si>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</si>
  <si>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</si>
  <si>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</si>
  <si>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</si>
  <si>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</si>
  <si>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</si>
  <si>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</si>
  <si>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</si>
  <si>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</si>
  <si>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</si>
  <si>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</si>
  <si>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</si>
  <si>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</si>
  <si>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</si>
  <si>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</si>
  <si>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</si>
  <si>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</si>
  <si>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</si>
  <si>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</si>
  <si>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</si>
  <si>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</si>
  <si>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</si>
  <si>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</si>
  <si>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</si>
  <si>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</si>
  <si>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</si>
  <si>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</si>
  <si>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</si>
  <si>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</si>
  <si>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</si>
  <si>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</si>
  <si>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</si>
  <si>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</si>
  <si>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</si>
  <si>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</si>
  <si>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</si>
  <si>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</si>
  <si>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</si>
  <si>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</si>
  <si>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</si>
  <si>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</si>
  <si>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</si>
  <si>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</si>
  <si>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</si>
  <si>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</si>
  <si>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</si>
  <si>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</si>
  <si>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</si>
  <si>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</si>
  <si>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</si>
  <si>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</si>
  <si>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</si>
  <si>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</si>
  <si>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</si>
  <si>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</si>
  <si>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</si>
  <si>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</si>
  <si>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</si>
  <si>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</si>
  <si>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</si>
  <si>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</si>
  <si>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</si>
  <si>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</si>
  <si>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</si>
  <si>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</si>
  <si>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</si>
  <si>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</si>
  <si>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</si>
  <si>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</si>
  <si>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</si>
  <si>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</si>
  <si>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</si>
  <si>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</si>
  <si>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</si>
  <si>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</si>
  <si>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</si>
  <si>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</si>
  <si>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</si>
  <si>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</si>
  <si>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</si>
  <si>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</si>
  <si>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</si>
  <si>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</si>
  <si>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</si>
  <si>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</si>
  <si>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</si>
  <si>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</si>
  <si>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</si>
  <si>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</si>
  <si>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</si>
  <si>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</si>
  <si>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</si>
  <si>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</si>
  <si>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</si>
  <si>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</si>
  <si>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</si>
  <si>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</si>
  <si>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</si>
  <si>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</si>
  <si>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</si>
  <si>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</si>
  <si>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</si>
  <si>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</si>
  <si>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</si>
  <si>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</si>
  <si>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</si>
  <si>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</si>
  <si>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</si>
  <si>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</si>
  <si>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</si>
  <si>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</si>
  <si>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</si>
  <si>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</si>
  <si>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</si>
  <si>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</si>
  <si>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</si>
  <si>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</si>
  <si>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</si>
  <si>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</si>
  <si>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</si>
  <si>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</si>
  <si>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</si>
  <si>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</si>
  <si>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</si>
  <si>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</si>
  <si>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</si>
  <si>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</si>
  <si>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</si>
  <si>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</si>
  <si>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</si>
  <si>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</si>
  <si>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</si>
  <si>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</si>
  <si>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</si>
  <si>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</si>
  <si>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</si>
  <si>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</si>
  <si>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</si>
  <si>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</si>
  <si>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</si>
  <si>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</si>
  <si>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</si>
  <si>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</si>
  <si>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</si>
  <si>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</si>
  <si>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</si>
  <si>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</si>
  <si>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</si>
  <si>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</si>
  <si>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</si>
  <si>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</si>
  <si>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</si>
  <si>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</si>
  <si>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</si>
  <si>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</si>
  <si>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</si>
  <si>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</si>
  <si>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</si>
  <si>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</si>
  <si>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</si>
  <si>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</si>
  <si>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</si>
  <si>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</si>
  <si>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</si>
  <si>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</si>
  <si>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</si>
  <si>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</si>
  <si>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</si>
  <si>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</si>
  <si>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</si>
  <si>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</si>
  <si>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</si>
  <si>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</si>
  <si>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</si>
  <si>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</si>
  <si>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</si>
  <si>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</si>
  <si>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</si>
  <si>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</si>
  <si>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</si>
  <si>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</si>
  <si>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</si>
  <si>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</si>
  <si>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</si>
  <si>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</si>
  <si>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</si>
  <si>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</si>
  <si>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</si>
  <si>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</si>
  <si>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</si>
  <si>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</si>
  <si>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</si>
  <si>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</si>
  <si>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</si>
  <si>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</si>
  <si>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</si>
  <si>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</si>
  <si>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</si>
  <si>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</si>
  <si>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</si>
  <si>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</si>
  <si>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</si>
  <si>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</si>
  <si>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</si>
  <si>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</si>
  <si>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</si>
  <si>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</si>
  <si>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</si>
  <si>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</si>
  <si>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</si>
  <si>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</si>
  <si>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</si>
  <si>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</si>
  <si>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</si>
  <si>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</si>
  <si>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</si>
  <si>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</si>
  <si>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</si>
  <si>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</si>
  <si>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</si>
  <si>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</si>
  <si>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</si>
  <si>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</si>
  <si>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</si>
  <si>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</si>
  <si>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</si>
  <si>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</si>
  <si>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</si>
  <si>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</si>
  <si>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</si>
  <si>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</si>
  <si>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</si>
  <si>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</si>
  <si>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</si>
  <si>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</si>
  <si>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</si>
  <si>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</si>
  <si>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</si>
  <si>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</si>
  <si>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</si>
  <si>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</si>
  <si>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</si>
  <si>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</si>
  <si>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</si>
  <si>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</si>
  <si>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</si>
  <si>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</si>
  <si>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</si>
  <si>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</si>
  <si>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</si>
  <si>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</si>
  <si>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</si>
  <si>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</si>
  <si>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</si>
  <si>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</si>
  <si>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</si>
  <si>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</si>
  <si>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</si>
  <si>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</si>
  <si>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</si>
  <si>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</si>
  <si>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</si>
  <si>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</si>
  <si>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</si>
  <si>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</si>
  <si>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</si>
  <si>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</si>
  <si>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</si>
  <si>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</si>
  <si>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</si>
  <si>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</si>
  <si>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</si>
  <si>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</si>
  <si>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</si>
  <si>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</si>
  <si>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</si>
  <si>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</si>
  <si>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</si>
  <si>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</si>
  <si>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</si>
  <si>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</si>
  <si>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</si>
  <si>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</si>
  <si>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</si>
  <si>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</si>
  <si>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</si>
  <si>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</si>
  <si>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</si>
  <si>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</si>
  <si>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</si>
  <si>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</si>
  <si>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</si>
  <si>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</si>
  <si>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</si>
  <si>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</si>
  <si>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</si>
  <si>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</si>
  <si>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</si>
  <si>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</si>
  <si>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</si>
  <si>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</si>
  <si>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</si>
  <si>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</si>
  <si>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</si>
  <si>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</si>
  <si>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</si>
  <si>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</si>
  <si>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</si>
  <si>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</si>
  <si>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</si>
  <si>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</si>
  <si>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</si>
  <si>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</si>
  <si>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</si>
  <si>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</si>
  <si>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</si>
  <si>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</si>
  <si>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</si>
  <si>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</si>
  <si>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</si>
  <si>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</si>
  <si>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</si>
  <si>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</si>
  <si>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</si>
  <si>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</si>
  <si>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</si>
  <si>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</si>
  <si>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</si>
  <si>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</si>
  <si>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</si>
  <si>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</si>
  <si>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</si>
  <si>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</si>
  <si>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</si>
  <si>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</si>
  <si>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</si>
  <si>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</si>
  <si>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</si>
  <si>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</si>
  <si>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</si>
  <si>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</si>
  <si>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</si>
  <si>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</si>
  <si>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</si>
  <si>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</si>
  <si>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</si>
  <si>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</si>
  <si>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</si>
  <si>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</si>
  <si>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</si>
  <si>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</si>
  <si>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</si>
  <si>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</si>
  <si>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</si>
  <si>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</si>
  <si>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</si>
  <si>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</si>
  <si>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</si>
  <si>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</si>
  <si>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</si>
  <si>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</si>
  <si>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</si>
  <si>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</si>
  <si>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</si>
  <si>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</si>
  <si>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</si>
  <si>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</si>
  <si>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</si>
  <si>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</si>
  <si>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</si>
  <si>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</si>
  <si>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</si>
  <si>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</si>
  <si>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</si>
  <si>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</si>
  <si>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</si>
  <si>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</si>
  <si>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</si>
  <si>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</si>
  <si>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</si>
  <si>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</si>
  <si>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</si>
  <si>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</si>
  <si>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</si>
  <si>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</si>
  <si>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</si>
  <si>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</si>
  <si>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</si>
  <si>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</si>
  <si>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</si>
  <si>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</si>
  <si>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</si>
  <si>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</si>
  <si>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</si>
  <si>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</si>
  <si>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</si>
  <si>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</si>
  <si>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</si>
  <si>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</si>
  <si>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</si>
  <si>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</si>
  <si>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</si>
  <si>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</si>
  <si>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</si>
  <si>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</si>
  <si>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</si>
  <si>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</si>
  <si>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</si>
  <si>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</si>
  <si>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</si>
  <si>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</si>
  <si>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</si>
  <si>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</si>
  <si>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</si>
  <si>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</si>
  <si>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</si>
  <si>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</si>
  <si>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</si>
  <si>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</si>
  <si>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</si>
  <si>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</si>
  <si>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</si>
  <si>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</si>
  <si>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</si>
  <si>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</si>
  <si>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</si>
  <si>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</si>
  <si>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</si>
  <si>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</si>
  <si>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</si>
  <si>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</si>
  <si>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</si>
  <si>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</si>
  <si>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</si>
  <si>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</si>
  <si>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</si>
  <si>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</si>
  <si>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</si>
  <si>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</si>
  <si>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</si>
  <si>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</si>
  <si>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</si>
  <si>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</si>
  <si>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</si>
  <si>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</si>
  <si>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</si>
  <si>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</si>
  <si>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</si>
  <si>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</si>
  <si>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</si>
  <si>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</si>
  <si>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</si>
  <si>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</si>
  <si>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</si>
  <si>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</si>
  <si>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</si>
  <si>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</si>
  <si>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</si>
  <si>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</si>
  <si>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</si>
  <si>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</si>
  <si>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</si>
  <si>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</si>
  <si>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</si>
  <si>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</si>
  <si>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</si>
  <si>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</si>
  <si>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</si>
  <si>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</si>
  <si>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</si>
  <si>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</si>
  <si>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</si>
  <si>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</si>
  <si>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</si>
  <si>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</si>
  <si>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</si>
  <si>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</si>
  <si>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</si>
  <si>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</si>
  <si>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</si>
  <si>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</si>
  <si>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</si>
  <si>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</si>
  <si>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</si>
  <si>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</si>
  <si>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</si>
  <si>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</si>
  <si>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</si>
  <si>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</si>
  <si>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</si>
  <si>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</si>
  <si>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</si>
  <si>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</si>
  <si>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</si>
  <si>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</si>
  <si>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</si>
  <si>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</si>
  <si>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</si>
  <si>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</si>
  <si>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</si>
  <si>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</si>
  <si>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</si>
  <si>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</si>
  <si>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</si>
  <si>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</si>
  <si>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</si>
  <si>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</si>
  <si>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</si>
  <si>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</si>
  <si>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</si>
  <si>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</si>
  <si>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</si>
  <si>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</si>
  <si>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</si>
  <si>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</si>
  <si>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</si>
  <si>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</si>
  <si>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</si>
  <si>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</si>
  <si>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</si>
  <si>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</si>
  <si>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</si>
  <si>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</si>
  <si>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</si>
  <si>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</si>
  <si>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</si>
  <si>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</si>
  <si>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</si>
  <si>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</si>
  <si>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</si>
  <si>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</si>
  <si>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</si>
  <si>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</si>
  <si>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</si>
  <si>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</si>
  <si>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</si>
  <si>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</si>
  <si>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</si>
  <si>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</si>
  <si>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</si>
  <si>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</si>
  <si>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</si>
  <si>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</si>
  <si>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</si>
  <si>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</si>
  <si>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</si>
  <si>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</si>
  <si>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</si>
  <si>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</si>
  <si>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</si>
  <si>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</si>
  <si>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</si>
  <si>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</si>
  <si>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</si>
  <si>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</si>
  <si>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</si>
  <si>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</si>
  <si>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</si>
  <si>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</si>
  <si>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</si>
  <si>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</si>
  <si>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</si>
  <si>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</si>
  <si>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</si>
  <si>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</si>
  <si>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</si>
  <si>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</si>
  <si>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</si>
  <si>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</si>
  <si>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</si>
  <si>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</si>
  <si>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</si>
  <si>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</si>
  <si>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</si>
  <si>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</si>
  <si>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</si>
  <si>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</si>
  <si>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</si>
  <si>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</si>
  <si>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</si>
  <si>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</si>
  <si>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</si>
  <si>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</si>
  <si>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</si>
  <si>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</si>
  <si>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</si>
  <si>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</si>
  <si>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</si>
  <si>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</si>
  <si>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</si>
  <si>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</si>
  <si>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</si>
  <si>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</si>
  <si>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</si>
  <si>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</si>
  <si>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</si>
  <si>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</si>
  <si>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</si>
  <si>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</si>
  <si>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</si>
  <si>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</si>
  <si>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</si>
  <si>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</si>
  <si>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</si>
  <si>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</si>
  <si>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</si>
  <si>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</si>
  <si>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</si>
  <si>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</si>
  <si>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</si>
  <si>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</si>
  <si>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</si>
  <si>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</si>
  <si>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</si>
  <si>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</si>
  <si>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</si>
  <si>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</si>
  <si>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</si>
  <si>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</si>
  <si>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</si>
  <si>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</si>
  <si>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</si>
  <si>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</si>
  <si>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</si>
  <si>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</si>
  <si>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</si>
  <si>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</si>
  <si>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</si>
  <si>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</si>
  <si>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</si>
  <si>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</si>
  <si>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</si>
  <si>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</si>
  <si>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</si>
  <si>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</si>
  <si>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</si>
  <si>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</si>
  <si>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</si>
  <si>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</si>
  <si>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</si>
  <si>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</si>
  <si>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</si>
  <si>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</si>
  <si>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</si>
  <si>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</si>
  <si>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</si>
  <si>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</si>
  <si>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</si>
  <si>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</si>
  <si>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</si>
  <si>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</si>
  <si>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</si>
  <si>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</si>
  <si>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</si>
  <si>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</si>
  <si>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</si>
  <si>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</si>
  <si>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</si>
  <si>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</si>
  <si>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</si>
  <si>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</si>
  <si>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</si>
  <si>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</si>
  <si>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</si>
  <si>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</si>
  <si>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</si>
  <si>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</si>
  <si>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</si>
  <si>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</si>
  <si>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</si>
  <si>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</si>
  <si>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</si>
  <si>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</si>
  <si>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</si>
  <si>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</si>
  <si>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</si>
  <si>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</si>
  <si>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</si>
  <si>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</si>
  <si>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</si>
  <si>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</si>
  <si>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</si>
  <si>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</si>
  <si>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</si>
  <si>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</si>
  <si>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</si>
  <si>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</si>
  <si>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</si>
  <si>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</si>
  <si>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</si>
  <si>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</si>
  <si>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</si>
  <si>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</si>
  <si>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</si>
  <si>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</si>
  <si>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</si>
  <si>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</si>
  <si>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</si>
  <si>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</si>
  <si>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</si>
  <si>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</si>
  <si>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</si>
  <si>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</si>
  <si>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</si>
  <si>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</si>
  <si>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</si>
  <si>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</si>
  <si>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</si>
  <si>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</si>
  <si>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</si>
  <si>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</si>
  <si>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</si>
  <si>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</si>
  <si>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</si>
  <si>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</si>
  <si>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</si>
  <si>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</si>
  <si>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</si>
  <si>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</si>
  <si>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</si>
  <si>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</si>
  <si>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</si>
  <si>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</si>
  <si>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</si>
  <si>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</si>
  <si>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</si>
  <si>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</si>
  <si>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</si>
  <si>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</si>
  <si>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</si>
  <si>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</si>
  <si>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</si>
  <si>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</si>
  <si>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</si>
  <si>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</si>
  <si>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</si>
  <si>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</si>
  <si>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</si>
  <si>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</si>
  <si>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</si>
  <si>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</si>
  <si>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</si>
  <si>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</si>
  <si>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</si>
  <si>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</si>
  <si>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</si>
  <si>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</si>
  <si>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</si>
  <si>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</si>
  <si>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</si>
  <si>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</si>
  <si>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</si>
  <si>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</si>
  <si>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</si>
  <si>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</si>
  <si>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</si>
  <si>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</si>
  <si>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</si>
  <si>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</si>
  <si>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</si>
  <si>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</si>
  <si>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</si>
  <si>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</si>
  <si>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</si>
  <si>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</si>
  <si>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</si>
  <si>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</si>
  <si>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</si>
  <si>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</si>
  <si>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</si>
  <si>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</si>
  <si>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</si>
  <si>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</si>
  <si>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</si>
  <si>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</si>
  <si>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</si>
  <si>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</si>
  <si>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</si>
  <si>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</si>
  <si>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</si>
  <si>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</si>
  <si>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</si>
  <si>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</si>
  <si>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</si>
  <si>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</si>
  <si>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</si>
  <si>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</si>
  <si>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</si>
  <si>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</si>
  <si>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</si>
  <si>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</si>
  <si>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</si>
  <si>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</si>
  <si>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</si>
  <si>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</si>
  <si>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</si>
  <si>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</si>
  <si>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</si>
  <si>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</si>
  <si>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</si>
  <si>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</si>
  <si>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</si>
  <si>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</si>
  <si>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</si>
  <si>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</si>
  <si>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</si>
  <si>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</si>
  <si>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</si>
  <si>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</si>
  <si>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</si>
  <si>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Masoma Valley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</si>
</sst>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343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1275858.32+100+100+75+100+100</f>
        <v>1276333.32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15355.91</v>
      </c>
      <c r="G12" s="18"/>
      <c r="H12" s="18"/>
      <c r="I12" s="18"/>
      <c r="J12" s="67">
        <f>SUM(I440)</f>
        <v>621791.9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83156.33-500</f>
        <v>82656.33</v>
      </c>
      <c r="G13" s="18">
        <v>1364.94</v>
      </c>
      <c r="H13" s="18">
        <f>105219.03</f>
        <v>105219.03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735.78+51.95</f>
        <v>787.73</v>
      </c>
      <c r="G14" s="18">
        <v>33747.22</v>
      </c>
      <c r="H14" s="18">
        <f>2781</f>
        <v>2781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1375133.29</v>
      </c>
      <c r="G19" s="41">
        <f>SUM(G9:G18)</f>
        <v>35112.160000000003</v>
      </c>
      <c r="H19" s="41">
        <f>SUM(H9:H18)</f>
        <v>108000.03</v>
      </c>
      <c r="I19" s="41">
        <f>SUM(I9:I18)</f>
        <v>0</v>
      </c>
      <c r="J19" s="41">
        <f>SUM(J9:J18)</f>
        <v>621791.9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27456.93</v>
      </c>
      <c r="H22" s="18">
        <v>-12100.43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6279.01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33735.94</v>
      </c>
      <c r="H32" s="41">
        <f>SUM(H22:H31)</f>
        <v>-12100.43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591644</v>
      </c>
      <c r="G47" s="18"/>
      <c r="H47" s="18"/>
      <c r="I47" s="18"/>
      <c r="J47" s="13">
        <f>SUM(I458)</f>
        <v>621791.9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f>375.96+1000.26</f>
        <v>1376.22</v>
      </c>
      <c r="H48" s="18">
        <v>120100.46</v>
      </c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620525.87+137963.42</f>
        <v>758489.29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1375133.29</v>
      </c>
      <c r="G50" s="41">
        <f>SUM(G35:G49)</f>
        <v>1376.22</v>
      </c>
      <c r="H50" s="41">
        <f>SUM(H35:H49)</f>
        <v>120100.46</v>
      </c>
      <c r="I50" s="41">
        <f>SUM(I35:I49)</f>
        <v>0</v>
      </c>
      <c r="J50" s="41">
        <f>SUM(J35:J49)</f>
        <v>621791.9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1375133.29</v>
      </c>
      <c r="G51" s="41">
        <f>G50+G32</f>
        <v>35112.160000000003</v>
      </c>
      <c r="H51" s="41">
        <f>H50+H32</f>
        <v>108000.03</v>
      </c>
      <c r="I51" s="41">
        <f>I50+I32</f>
        <v>0</v>
      </c>
      <c r="J51" s="41">
        <f>J50+J32</f>
        <v>621791.9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4125371+362069+5792021+1238406+426653</f>
        <v>11944520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11944520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>
        <v>73557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50727.5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1039.3599999999999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1039.3599999999999</v>
      </c>
      <c r="G78" s="45" t="s">
        <v>289</v>
      </c>
      <c r="H78" s="41">
        <f>SUM(H62:H77)</f>
        <v>124284.5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7245.17</v>
      </c>
      <c r="G95" s="18"/>
      <c r="H95" s="18"/>
      <c r="I95" s="18"/>
      <c r="J95" s="18">
        <v>468.32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190433+32180+13167+5975</f>
        <v>241755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2630.75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75282.85</f>
        <v>75282.850000000006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4681.53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14557.45</v>
      </c>
      <c r="G110" s="41">
        <f>SUM(G95:G109)</f>
        <v>241755</v>
      </c>
      <c r="H110" s="41">
        <f>SUM(H95:H109)</f>
        <v>75282.850000000006</v>
      </c>
      <c r="I110" s="41">
        <f>SUM(I95:I109)</f>
        <v>0</v>
      </c>
      <c r="J110" s="41">
        <f>SUM(J95:J109)</f>
        <v>468.32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11960116.809999999</v>
      </c>
      <c r="G111" s="41">
        <f>G59+G110</f>
        <v>241755</v>
      </c>
      <c r="H111" s="41">
        <f>H59+H78+H93+H110</f>
        <v>199567.35</v>
      </c>
      <c r="I111" s="41">
        <f>I59+I110</f>
        <v>0</v>
      </c>
      <c r="J111" s="41">
        <f>J59+J110</f>
        <v>468.32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4480025.3499999996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2630506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3881.65</f>
        <v>3881.65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7114413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201520.15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240658.9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19748.349999999999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5025.83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461927.39999999997</v>
      </c>
      <c r="G135" s="41">
        <f>SUM(G122:G134)</f>
        <v>5025.83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7576340.4000000004</v>
      </c>
      <c r="G139" s="41">
        <f>G120+SUM(G135:G136)</f>
        <v>5025.83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f>150056.2</f>
        <v>150056.20000000001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150056.20000000001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4988.61+139369.12+18317.29+62272.27</f>
        <v>224947.28999999998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26303.38+21207.93+1368.78+28932.32+2090.64</f>
        <v>79903.05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180722.41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11.91+310233.63+40152.04</f>
        <v>350397.57999999996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91033.09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91033.09</v>
      </c>
      <c r="G161" s="41">
        <f>SUM(G149:G160)</f>
        <v>180722.41</v>
      </c>
      <c r="H161" s="41">
        <f>SUM(H149:H160)</f>
        <v>655247.91999999993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3429.82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244519.11000000002</v>
      </c>
      <c r="G168" s="41">
        <f>G146+G161+SUM(G162:G167)</f>
        <v>180722.41</v>
      </c>
      <c r="H168" s="41">
        <f>H146+H161+SUM(H162:H167)</f>
        <v>655247.91999999993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7835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7835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7835</v>
      </c>
      <c r="J191" s="41">
        <f>J182</f>
        <v>25000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19780976.32</v>
      </c>
      <c r="G192" s="47">
        <f>G111+G139+G168+G191</f>
        <v>427503.24</v>
      </c>
      <c r="H192" s="47">
        <f>H111+H139+H168+H191</f>
        <v>854815.2699999999</v>
      </c>
      <c r="I192" s="47">
        <f>I111+I139+I168+I191</f>
        <v>7835</v>
      </c>
      <c r="J192" s="47">
        <f>J111+J139+J191</f>
        <v>25468.32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116219.21+995365.32+823985.54+9777+1504410.64+450.32+133935.32+68406.4+56009.58</f>
        <v>3708559.3299999996</v>
      </c>
      <c r="G196" s="18">
        <f>132589.38+269623.4+233980.44+296344.26+41818.08+20858.42+17996.73+35381.46+3284.38+72792.58+10246.8+60126.36+5233.26+768.64+115502.7+4015.01+97.94+4861.11+112475.62+93109.98+955.08+169974.32</f>
        <v>1702035.95</v>
      </c>
      <c r="H196" s="18">
        <f>2601+5250.64+45.29+1468.34+2065+1455.36+2000+1494.48+834.29+8745.61</f>
        <v>25960.010000000002</v>
      </c>
      <c r="I196" s="18">
        <f>153.62+13656.41+17179.45+25358.54+2582.45+2554.84+1925+7+21322.93+18336.82+22640.7+7309.89+6709.28+10078.55</f>
        <v>149815.47999999998</v>
      </c>
      <c r="J196" s="18">
        <f>724.6+478+4097.78+1494.51+93714.07+1176.94+18992.12+13544.83+11621.28+1039.75</f>
        <v>146883.88</v>
      </c>
      <c r="K196" s="18">
        <f>3859.6</f>
        <v>3859.6</v>
      </c>
      <c r="L196" s="19">
        <f>SUM(F196:K196)</f>
        <v>5737114.2499999991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353010.98+110098.75+112565.96+169791+352701.55+213852.41+249574.56</f>
        <v>1561595.21</v>
      </c>
      <c r="G197" s="18">
        <f>134751.22+30595.32+75538.72+28212.14+21487.62+39280.74+96684.06+846.96+2403+6494.1+3714.28+2999.26+3395.92+7646.32+2611.06+8041.55+26391.74+8259.58+16282.97+12502.84+18478.78+1036.34+10428.78+5551+12936.89+12406.88+12719.73+19186.41</f>
        <v>620884.21000000008</v>
      </c>
      <c r="H197" s="18">
        <f>(1259.31+6173.7+12440.31+7668.62+2626.44+707.64+503014.88+5331.7+165.05)-471942.44</f>
        <v>67445.210000000021</v>
      </c>
      <c r="I197" s="18">
        <f>564.47+1401.9+291.78+382.86+2188.06+1276.66+236.45+514.75+5448.07</f>
        <v>12305</v>
      </c>
      <c r="J197" s="18">
        <f>1244.52+255.13</f>
        <v>1499.65</v>
      </c>
      <c r="K197" s="18">
        <f>45.56</f>
        <v>45.56</v>
      </c>
      <c r="L197" s="19">
        <f>SUM(F197:K197)</f>
        <v>2263774.84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11637+7319</f>
        <v>18956</v>
      </c>
      <c r="G199" s="18">
        <f>861.45+559.91+106.57+411.32+827.05</f>
        <v>2766.3</v>
      </c>
      <c r="H199" s="18">
        <f>3045+4253.4</f>
        <v>7298.4</v>
      </c>
      <c r="I199" s="18">
        <f>1123.95</f>
        <v>1123.95</v>
      </c>
      <c r="J199" s="18"/>
      <c r="K199" s="18">
        <v>615</v>
      </c>
      <c r="L199" s="19">
        <f>SUM(F199:K199)</f>
        <v>30759.649999999998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23647.14+56375+111611.05+51331+51830+51830</f>
        <v>346624.19</v>
      </c>
      <c r="G201" s="18">
        <f>17414.98+25954.72+17414.98+7224.1+14448.06+719.61+1568.6+3137.2+1568.6+1568.6+931.26+1809.1+4095.75+8215.05+3710.08+3875.08+3785.06+2672.09+6370.28+12612.08+5800.35+5856.84+5856.77</f>
        <v>156609.24</v>
      </c>
      <c r="H201" s="18">
        <f>256130.31+100+3559.42</f>
        <v>259789.73</v>
      </c>
      <c r="I201" s="18">
        <f>183.82+71.99+1154.85+833.89+827.53</f>
        <v>3072.08</v>
      </c>
      <c r="J201" s="18"/>
      <c r="K201" s="18"/>
      <c r="L201" s="19">
        <f t="shared" ref="L201:L207" si="0">SUM(F201:K201)</f>
        <v>766095.24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57898.7+43705.7+49048.5+22914.36</f>
        <v>173567.26</v>
      </c>
      <c r="G202" s="18">
        <f>19504.76+15773.18+13612.5+1568.6+931.26+998.8+4186.47+3147.06+5407.27+2016.5+6542.63+4938.71+5542.43</f>
        <v>84170.170000000013</v>
      </c>
      <c r="H202" s="18">
        <f>42927.52+3400</f>
        <v>46327.519999999997</v>
      </c>
      <c r="I202" s="18">
        <f>800.21+395.51+471.28+6890.68+6092.83+7951.4+14515.45</f>
        <v>37117.360000000001</v>
      </c>
      <c r="J202" s="18">
        <f>531.39+1890.99+605.63+287.85+459.1</f>
        <v>3774.96</v>
      </c>
      <c r="K202" s="18"/>
      <c r="L202" s="19">
        <f t="shared" si="0"/>
        <v>344957.27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345969.55</f>
        <v>345969.55</v>
      </c>
      <c r="G203" s="18">
        <f>106972.6</f>
        <v>106972.6</v>
      </c>
      <c r="H203" s="18">
        <f>30217.18+2889.97+90385.2+1137.82+401.4+797.3+1115.19+9950.69+3462.7+6402.64+563.72+285.94+1633.7</f>
        <v>149243.45000000004</v>
      </c>
      <c r="I203" s="18">
        <f>7315.34+10033.47+2230.04+2289.8+192.4+24783.26+734.64</f>
        <v>47578.95</v>
      </c>
      <c r="J203" s="18"/>
      <c r="K203" s="18">
        <f>3651.09+112.15</f>
        <v>3763.2400000000002</v>
      </c>
      <c r="L203" s="19">
        <f t="shared" si="0"/>
        <v>653527.79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79576+79576+83025+33839+38586+93426.84+66735</f>
        <v>474763.83999999997</v>
      </c>
      <c r="G204" s="18">
        <f>26930.9+29215.3+70503.84+2068+2068+5293.64+8544.83+8897.06+18298.82+2977.9+3395.66+8221.67+9150.33+9150.33+17220.71+2269+2960+5000</f>
        <v>232165.98999999996</v>
      </c>
      <c r="H204" s="18">
        <f>11752.43+9068.99+4676.62+716.03+600.01+1000+409+559+489+419.03+650.8</f>
        <v>30340.909999999993</v>
      </c>
      <c r="I204" s="18">
        <f>261.93+22.44+974.7</f>
        <v>1259.0700000000002</v>
      </c>
      <c r="J204" s="18">
        <f>339.75</f>
        <v>339.75</v>
      </c>
      <c r="K204" s="18">
        <f>15</f>
        <v>15</v>
      </c>
      <c r="L204" s="19">
        <f t="shared" si="0"/>
        <v>738884.55999999994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60684.93+74143.49+74790.75+69530.45</f>
        <v>279149.62</v>
      </c>
      <c r="G206" s="18">
        <f>24112.85+14025+17756.31+21187.54+2143.36+1214.73+1430.66+5597.43+5645.43+5218.72+4975.17+4900.34+5368.25</f>
        <v>113575.79</v>
      </c>
      <c r="H206" s="18">
        <f>2000+4833.35+512+549.47+102991.69+58326.35+151658.2+15133.75+1250+1200+13889.14+14683.73+25385.06+13197.42+9979.81+14364.83+28072+1447.3+743.46+31596.95+956</f>
        <v>492770.51000000007</v>
      </c>
      <c r="I206" s="18">
        <f>115548.51+12169.11+14217.9+992.52+1008.36+1775+344.78+12600.6+17542.57+18848.74+26983.88+3086.43+2173.51+1711.09+51254.63+28130.41+49866.29</f>
        <v>358254.3299999999</v>
      </c>
      <c r="J206" s="18">
        <f>976.52+499.95+1523+7178.96+17421.28+18744.41+21609.52+1469.95+9886.51</f>
        <v>79310.099999999991</v>
      </c>
      <c r="K206" s="18"/>
      <c r="L206" s="19">
        <f t="shared" si="0"/>
        <v>1323060.3500000001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373933.5+123507.82+5272.9+3660.05+3439.8+6826.91</f>
        <v>516640.98</v>
      </c>
      <c r="I207" s="18">
        <f>509.18</f>
        <v>509.18</v>
      </c>
      <c r="J207" s="18"/>
      <c r="K207" s="18"/>
      <c r="L207" s="19">
        <f t="shared" si="0"/>
        <v>517150.16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684.25+1066.05</f>
        <v>1750.3</v>
      </c>
      <c r="I208" s="18"/>
      <c r="J208" s="18"/>
      <c r="K208" s="18"/>
      <c r="L208" s="19">
        <f>SUM(F208:K208)</f>
        <v>1750.3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6909184.9999999991</v>
      </c>
      <c r="G210" s="41">
        <f t="shared" si="1"/>
        <v>3019180.25</v>
      </c>
      <c r="H210" s="41">
        <f t="shared" si="1"/>
        <v>1597567.0200000003</v>
      </c>
      <c r="I210" s="41">
        <f t="shared" si="1"/>
        <v>611035.4</v>
      </c>
      <c r="J210" s="41">
        <f t="shared" si="1"/>
        <v>231808.33999999997</v>
      </c>
      <c r="K210" s="41">
        <f t="shared" si="1"/>
        <v>8298.4</v>
      </c>
      <c r="L210" s="41">
        <f t="shared" si="1"/>
        <v>12377074.41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54691.4+9106.04+37302+1543375.35+1374+81237.14</f>
        <v>1727085.93</v>
      </c>
      <c r="G232" s="18">
        <f>62395+460748.99+38983.08+2014.32+38613.74+4338.13+265.98+2836.6+112461.61+5996+120.92+7148.96+886.74+4215.25+172793.83+1299.08</f>
        <v>915118.22999999975</v>
      </c>
      <c r="H232" s="18">
        <f>1224+2470.89+21.31+2015+1500+4115.57</f>
        <v>11346.77</v>
      </c>
      <c r="I232" s="18">
        <f>72.29+61705.4+2062.5+37738.62+11486.24</f>
        <v>113065.05</v>
      </c>
      <c r="J232" s="18">
        <f>6972.04+769.95+44100.73+17584+20882.47</f>
        <v>90309.19</v>
      </c>
      <c r="K232" s="18">
        <f>5662.47</f>
        <v>5662.47</v>
      </c>
      <c r="L232" s="19">
        <f>SUM(F232:K232)</f>
        <v>2862587.6399999997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166122.81+172025.78+180366.06</f>
        <v>518514.64999999997</v>
      </c>
      <c r="G233" s="18">
        <f>63412.34+54012.56+109483.01+4215.42+6827.04+12487.57+12850.51+13386.27+19438.82</f>
        <v>296113.54000000004</v>
      </c>
      <c r="H233" s="18">
        <f>592.61+2905.27+5854.26+3608.76+375.2+524.79+1094.79+333.01+171711.15+236712.89+2509.03+77.67+471942.44</f>
        <v>898241.87</v>
      </c>
      <c r="I233" s="18">
        <f>265.63+305.02+1029.67+1276.66+76.79+2563.79+659.71+242.23</f>
        <v>6419.5</v>
      </c>
      <c r="J233" s="18">
        <f>585.65+120.05</f>
        <v>705.69999999999993</v>
      </c>
      <c r="K233" s="18">
        <f>21.44</f>
        <v>21.44</v>
      </c>
      <c r="L233" s="19">
        <f>SUM(F233:K233)</f>
        <v>1720016.7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259069.09</f>
        <v>259069.09</v>
      </c>
      <c r="I234" s="18"/>
      <c r="J234" s="18"/>
      <c r="K234" s="18"/>
      <c r="L234" s="19">
        <f>SUM(F234:K234)</f>
        <v>259069.09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40889+20687</f>
        <v>61576</v>
      </c>
      <c r="G235" s="18">
        <f>3110.68+1582.46+1393.96</f>
        <v>6087.0999999999995</v>
      </c>
      <c r="H235" s="18">
        <f>22837.97+2001.6</f>
        <v>24839.57</v>
      </c>
      <c r="I235" s="18">
        <f>17496.84</f>
        <v>17496.84</v>
      </c>
      <c r="J235" s="18">
        <f>2977.84</f>
        <v>2977.84</v>
      </c>
      <c r="K235" s="18">
        <f>4710</f>
        <v>4710</v>
      </c>
      <c r="L235" s="19">
        <f>SUM(F235:K235)</f>
        <v>117687.35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171286+56375</f>
        <v>227661</v>
      </c>
      <c r="G237" s="18">
        <f>14448.06+19504.76+3431.12+1568.6+12998.73+4069.75+84.52+19355.36+6359.14</f>
        <v>81820.039999999994</v>
      </c>
      <c r="H237" s="18">
        <f>120531.91+1000+1675.01</f>
        <v>123206.92</v>
      </c>
      <c r="I237" s="18">
        <f>1411.58+1415.62+50.35</f>
        <v>2877.5499999999997</v>
      </c>
      <c r="J237" s="18"/>
      <c r="K237" s="18"/>
      <c r="L237" s="19">
        <f t="shared" ref="L237:L243" si="4">SUM(F237:K237)</f>
        <v>435565.50999999995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57715.5+14193.74</f>
        <v>71909.240000000005</v>
      </c>
      <c r="G238" s="18">
        <f>14448.06+931.26+5320.9+6521.57</f>
        <v>27221.79</v>
      </c>
      <c r="H238" s="4">
        <f>20201.18+1600</f>
        <v>21801.18</v>
      </c>
      <c r="I238" s="18">
        <f>1515.03+12662.93+6830.8</f>
        <v>21008.760000000002</v>
      </c>
      <c r="J238" s="18">
        <f>3903.38+3055.94+1601.99</f>
        <v>8561.31</v>
      </c>
      <c r="K238" s="18"/>
      <c r="L238" s="19">
        <f t="shared" si="4"/>
        <v>150502.28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162809.2</f>
        <v>162809.20000000001</v>
      </c>
      <c r="G239" s="18">
        <f>50340.05</f>
        <v>50340.05</v>
      </c>
      <c r="H239" s="18">
        <f>14219.85+1359.98+42534.21+535.45+188.89+524.79+4682.68+1629.51+3013+265.28+134.56+768.8</f>
        <v>69857</v>
      </c>
      <c r="I239" s="18">
        <f>3442.5+4721.62+345.71+1049.42+1077.54+90.54+11662.7</f>
        <v>22390.030000000002</v>
      </c>
      <c r="J239" s="18"/>
      <c r="K239" s="18">
        <f>1718.16+52.77</f>
        <v>1770.93</v>
      </c>
      <c r="L239" s="19">
        <f t="shared" si="4"/>
        <v>307167.21000000002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84663+99966.44+65000+72242.34</f>
        <v>321871.78000000003</v>
      </c>
      <c r="G240" s="18">
        <f>91634.59+7306.07+24160.46+13740.31+18998.69+6694</f>
        <v>162534.12</v>
      </c>
      <c r="H240" s="18">
        <f>9990.92+1821.87+2955.03+314.69</f>
        <v>15082.510000000002</v>
      </c>
      <c r="I240" s="18">
        <f>1728.19</f>
        <v>1728.19</v>
      </c>
      <c r="J240" s="18"/>
      <c r="K240" s="18"/>
      <c r="L240" s="19">
        <f t="shared" si="4"/>
        <v>501216.60000000003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28557.61+109464.1</f>
        <v>138021.71000000002</v>
      </c>
      <c r="G242" s="18">
        <f>11347.22+32553.66+2499.86+8167.83+8108.62</f>
        <v>62677.19</v>
      </c>
      <c r="H242" s="18">
        <f>542+258.58+64627.94+4513+817.86+33970.81+17375.6+28072+681.08+349.86+14869.15+449.87</f>
        <v>166527.74999999997</v>
      </c>
      <c r="I242" s="18">
        <f>19365.01+781.28+5929.69+34804.3+1691.92+50556.41</f>
        <v>113128.61</v>
      </c>
      <c r="J242" s="18">
        <f>51595.75+6446.12+4652.47</f>
        <v>62694.340000000004</v>
      </c>
      <c r="K242" s="18"/>
      <c r="L242" s="19">
        <f t="shared" si="4"/>
        <v>543049.6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175968.7+58121.33+71365+31882.08+5676.12</f>
        <v>343013.23000000004</v>
      </c>
      <c r="I243" s="18">
        <f>239.61</f>
        <v>239.61</v>
      </c>
      <c r="J243" s="18"/>
      <c r="K243" s="18"/>
      <c r="L243" s="19">
        <f t="shared" si="4"/>
        <v>343252.84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322+501.67</f>
        <v>823.67000000000007</v>
      </c>
      <c r="I244" s="18"/>
      <c r="J244" s="18"/>
      <c r="K244" s="18"/>
      <c r="L244" s="19">
        <f>SUM(F244:K244)</f>
        <v>823.67000000000007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3229449.5100000007</v>
      </c>
      <c r="G246" s="41">
        <f t="shared" si="5"/>
        <v>1601912.06</v>
      </c>
      <c r="H246" s="41">
        <f t="shared" si="5"/>
        <v>1933809.5599999998</v>
      </c>
      <c r="I246" s="41">
        <f t="shared" si="5"/>
        <v>298354.14</v>
      </c>
      <c r="J246" s="41">
        <f t="shared" si="5"/>
        <v>165248.38</v>
      </c>
      <c r="K246" s="41">
        <f t="shared" si="5"/>
        <v>12164.84</v>
      </c>
      <c r="L246" s="41">
        <f t="shared" si="5"/>
        <v>7240938.4899999984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10138634.51</v>
      </c>
      <c r="G256" s="41">
        <f t="shared" si="8"/>
        <v>4621092.3100000005</v>
      </c>
      <c r="H256" s="41">
        <f t="shared" si="8"/>
        <v>3531376.58</v>
      </c>
      <c r="I256" s="41">
        <f t="shared" si="8"/>
        <v>909389.54</v>
      </c>
      <c r="J256" s="41">
        <f t="shared" si="8"/>
        <v>397056.72</v>
      </c>
      <c r="K256" s="41">
        <f t="shared" si="8"/>
        <v>20463.239999999998</v>
      </c>
      <c r="L256" s="41">
        <f t="shared" si="8"/>
        <v>19618012.899999999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25000</v>
      </c>
      <c r="L269" s="41">
        <f t="shared" si="9"/>
        <v>25000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10138634.51</v>
      </c>
      <c r="G270" s="42">
        <f t="shared" si="11"/>
        <v>4621092.3100000005</v>
      </c>
      <c r="H270" s="42">
        <f t="shared" si="11"/>
        <v>3531376.58</v>
      </c>
      <c r="I270" s="42">
        <f t="shared" si="11"/>
        <v>909389.54</v>
      </c>
      <c r="J270" s="42">
        <f t="shared" si="11"/>
        <v>397056.72</v>
      </c>
      <c r="K270" s="42">
        <f t="shared" si="11"/>
        <v>45463.24</v>
      </c>
      <c r="L270" s="42">
        <f t="shared" si="11"/>
        <v>19643012.899999999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3988.89+62932.45</f>
        <v>66921.34</v>
      </c>
      <c r="G275" s="18">
        <f>3224.98+249.7+12.91+350.14+4774.13+450.75+2404.33+8.56</f>
        <v>11475.5</v>
      </c>
      <c r="H275" s="18">
        <f>3000+1538.75+1853.68+87937.5+3347+12030+8186.06+18060+4371.04+2633.06+7200+8160+3670.64+623.55+376.7+468.52+2640+953.36+1936.49+2638.46+10527+360+13067.29+1800+337.93+2532.91</f>
        <v>200249.93999999997</v>
      </c>
      <c r="I275" s="18">
        <f>727.79+502.9+1194.29+252.31+222.36+716.74+3378+576.92+1119+62.51+1421.64+6143.66+2067.17+115.36+160.9+396.7+264.29+46985.5</f>
        <v>66308.040000000008</v>
      </c>
      <c r="J275" s="18">
        <f>479+156.34+685.77+42485.04+2334.45+3724</f>
        <v>49864.6</v>
      </c>
      <c r="K275" s="18">
        <f>6937.62</f>
        <v>6937.62</v>
      </c>
      <c r="L275" s="19">
        <f>SUM(F275:K275)</f>
        <v>401757.03999999992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95059.86</f>
        <v>95059.86</v>
      </c>
      <c r="G276" s="18">
        <f>18210.29-30.6</f>
        <v>18179.690000000002</v>
      </c>
      <c r="H276" s="18">
        <f>91533.5+1700</f>
        <v>93233.5</v>
      </c>
      <c r="I276" s="18">
        <f>4319.53+7534.23+1337.93</f>
        <v>13191.689999999999</v>
      </c>
      <c r="J276" s="18">
        <f>1375.95+297.84+7779.68+1834.61+7116.96</f>
        <v>18405.04</v>
      </c>
      <c r="K276" s="18"/>
      <c r="L276" s="19">
        <f>SUM(F276:K276)</f>
        <v>238069.78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170</f>
        <v>170</v>
      </c>
      <c r="I281" s="18"/>
      <c r="J281" s="18"/>
      <c r="K281" s="18"/>
      <c r="L281" s="19">
        <f t="shared" si="12"/>
        <v>170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161981.20000000001</v>
      </c>
      <c r="G289" s="42">
        <f t="shared" si="13"/>
        <v>29655.190000000002</v>
      </c>
      <c r="H289" s="42">
        <f t="shared" si="13"/>
        <v>293653.43999999994</v>
      </c>
      <c r="I289" s="42">
        <f t="shared" si="13"/>
        <v>79499.73000000001</v>
      </c>
      <c r="J289" s="42">
        <f t="shared" si="13"/>
        <v>68269.64</v>
      </c>
      <c r="K289" s="42">
        <f t="shared" si="13"/>
        <v>6937.62</v>
      </c>
      <c r="L289" s="41">
        <f t="shared" si="13"/>
        <v>639996.81999999995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15760.75+21224.5</f>
        <v>36985.25</v>
      </c>
      <c r="G313" s="18">
        <f>2769.99+1949.36+1854.19</f>
        <v>6573.5399999999991</v>
      </c>
      <c r="H313" s="18">
        <f>11665.2+7000+2483.43+3826.62+872.32+3852.27+2056.96+1239.08+3840+1727.36+293.43+177.26+220.48+448.64+911.29+1241.62+6149.31+159.02+1192.68</f>
        <v>49356.97</v>
      </c>
      <c r="I313" s="18">
        <f>2000+1921.95+3588.34+337.29+271.48+526.58+669.01+54.3+186.67+124.35</f>
        <v>9679.9699999999993</v>
      </c>
      <c r="J313" s="18">
        <f>990.53+73.56+19992.96</f>
        <v>21057.05</v>
      </c>
      <c r="K313" s="18"/>
      <c r="L313" s="19">
        <f>SUM(F313:K313)</f>
        <v>123652.78000000001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44734.05</f>
        <v>44734.05</v>
      </c>
      <c r="G314" s="18">
        <f>8569.55-14.4</f>
        <v>8555.15</v>
      </c>
      <c r="H314" s="18">
        <f>750+51.07+43074.59+800</f>
        <v>44675.659999999996</v>
      </c>
      <c r="I314" s="18">
        <f>298.87+2032.72+3545.52+629.61</f>
        <v>6506.72</v>
      </c>
      <c r="J314" s="18">
        <f>647.5+140.16+3661.02+863.34+3349.15</f>
        <v>8661.17</v>
      </c>
      <c r="K314" s="18"/>
      <c r="L314" s="19">
        <f>SUM(F314:K314)</f>
        <v>113132.75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80</f>
        <v>80</v>
      </c>
      <c r="I319" s="18"/>
      <c r="J319" s="18"/>
      <c r="K319" s="18"/>
      <c r="L319" s="19">
        <f t="shared" si="16"/>
        <v>80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81719.3</v>
      </c>
      <c r="G327" s="42">
        <f t="shared" si="17"/>
        <v>15128.689999999999</v>
      </c>
      <c r="H327" s="42">
        <f t="shared" si="17"/>
        <v>94112.63</v>
      </c>
      <c r="I327" s="42">
        <f t="shared" si="17"/>
        <v>16186.689999999999</v>
      </c>
      <c r="J327" s="42">
        <f t="shared" si="17"/>
        <v>29718.22</v>
      </c>
      <c r="K327" s="42">
        <f t="shared" si="17"/>
        <v>0</v>
      </c>
      <c r="L327" s="41">
        <f t="shared" si="17"/>
        <v>236865.53000000003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 t="s">
        <v>287</v>
      </c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243700.5</v>
      </c>
      <c r="G337" s="41">
        <f t="shared" si="20"/>
        <v>44783.880000000005</v>
      </c>
      <c r="H337" s="41">
        <f t="shared" si="20"/>
        <v>387766.06999999995</v>
      </c>
      <c r="I337" s="41">
        <f t="shared" si="20"/>
        <v>95686.420000000013</v>
      </c>
      <c r="J337" s="41">
        <f t="shared" si="20"/>
        <v>97987.86</v>
      </c>
      <c r="K337" s="41">
        <f t="shared" si="20"/>
        <v>6937.62</v>
      </c>
      <c r="L337" s="41">
        <f t="shared" si="20"/>
        <v>876862.35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243700.5</v>
      </c>
      <c r="G351" s="41">
        <f>G337</f>
        <v>44783.880000000005</v>
      </c>
      <c r="H351" s="41">
        <f>H337</f>
        <v>387766.06999999995</v>
      </c>
      <c r="I351" s="41">
        <f>I337</f>
        <v>95686.420000000013</v>
      </c>
      <c r="J351" s="41">
        <f>J337</f>
        <v>97987.86</v>
      </c>
      <c r="K351" s="47">
        <f>K337+K350</f>
        <v>6937.62</v>
      </c>
      <c r="L351" s="41">
        <f>L337+L350</f>
        <v>876862.35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290022.03</f>
        <v>290022.03000000003</v>
      </c>
      <c r="I357" s="18"/>
      <c r="J357" s="18"/>
      <c r="K357" s="18"/>
      <c r="L357" s="13">
        <f>SUM(F357:K357)</f>
        <v>290022.03000000003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136480.95000000001</v>
      </c>
      <c r="I359" s="18"/>
      <c r="J359" s="18"/>
      <c r="K359" s="18"/>
      <c r="L359" s="19">
        <f>SUM(F359:K359)</f>
        <v>136480.95000000001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426502.98000000004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426502.98000000004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>
        <v>7835</v>
      </c>
      <c r="K377" s="18"/>
      <c r="L377" s="13">
        <f t="shared" si="23"/>
        <v>7835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7835</v>
      </c>
      <c r="K381" s="47">
        <f t="shared" si="24"/>
        <v>0</v>
      </c>
      <c r="L381" s="47">
        <f t="shared" si="24"/>
        <v>7835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468.32</v>
      </c>
      <c r="I391" s="18"/>
      <c r="J391" s="24" t="s">
        <v>289</v>
      </c>
      <c r="K391" s="24" t="s">
        <v>289</v>
      </c>
      <c r="L391" s="56">
        <f t="shared" si="25"/>
        <v>468.32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468.32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468.32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468.32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25468.32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7835</v>
      </c>
      <c r="L414" s="56">
        <f t="shared" si="27"/>
        <v>7835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7835</v>
      </c>
      <c r="L418" s="47">
        <f t="shared" si="28"/>
        <v>7835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7835</v>
      </c>
      <c r="L433" s="47">
        <f t="shared" si="32"/>
        <v>7835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621791.9</v>
      </c>
      <c r="G440" s="18"/>
      <c r="H440" s="18"/>
      <c r="I440" s="56">
        <f t="shared" si="33"/>
        <v>621791.9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621791.9</v>
      </c>
      <c r="G445" s="13">
        <f>SUM(G438:G444)</f>
        <v>0</v>
      </c>
      <c r="H445" s="13">
        <f>SUM(H438:H444)</f>
        <v>0</v>
      </c>
      <c r="I445" s="13">
        <f>SUM(I438:I444)</f>
        <v>621791.9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621791.9</v>
      </c>
      <c r="G458" s="18"/>
      <c r="H458" s="18"/>
      <c r="I458" s="56">
        <f t="shared" si="34"/>
        <v>621791.9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621791.9</v>
      </c>
      <c r="G459" s="83">
        <f>SUM(G453:G458)</f>
        <v>0</v>
      </c>
      <c r="H459" s="83">
        <f>SUM(H453:H458)</f>
        <v>0</v>
      </c>
      <c r="I459" s="83">
        <f>SUM(I453:I458)</f>
        <v>621791.9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621791.9</v>
      </c>
      <c r="G460" s="42">
        <f>G451+G459</f>
        <v>0</v>
      </c>
      <c r="H460" s="42">
        <f>H451+H459</f>
        <v>0</v>
      </c>
      <c r="I460" s="42">
        <f>I451+I459</f>
        <v>621791.9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1237169.8700000001</v>
      </c>
      <c r="G464" s="18">
        <v>375.96</v>
      </c>
      <c r="H464" s="18">
        <v>142147.54</v>
      </c>
      <c r="I464" s="18">
        <v>0</v>
      </c>
      <c r="J464" s="18">
        <v>604158.57999999996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20882476.32-1101500</f>
        <v>19780976.32</v>
      </c>
      <c r="G467" s="18">
        <v>427503.24</v>
      </c>
      <c r="H467" s="18">
        <f>655247.92+73557+50727.5+75282.85</f>
        <v>854815.27</v>
      </c>
      <c r="I467" s="18">
        <v>7835</v>
      </c>
      <c r="J467" s="18">
        <f>468.32+25000</f>
        <v>25468.32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 t="s">
        <v>287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19780976.32</v>
      </c>
      <c r="G469" s="53">
        <f>SUM(G467:G468)</f>
        <v>427503.24</v>
      </c>
      <c r="H469" s="53">
        <f>SUM(H467:H468)</f>
        <v>854815.27</v>
      </c>
      <c r="I469" s="53">
        <f>SUM(I467:I468)</f>
        <v>7835</v>
      </c>
      <c r="J469" s="53">
        <f>SUM(J467:J468)</f>
        <v>25468.32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20744512.9-1101500</f>
        <v>19643012.899999999</v>
      </c>
      <c r="G471" s="18">
        <v>426502.98</v>
      </c>
      <c r="H471" s="18">
        <f>655247.92+73585.59+53457.18+94571.66</f>
        <v>876862.35000000009</v>
      </c>
      <c r="I471" s="18">
        <v>7835</v>
      </c>
      <c r="J471" s="18">
        <v>7835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19643012.899999999</v>
      </c>
      <c r="G473" s="53">
        <f>SUM(G471:G472)</f>
        <v>426502.98</v>
      </c>
      <c r="H473" s="53">
        <f>SUM(H471:H472)</f>
        <v>876862.35000000009</v>
      </c>
      <c r="I473" s="53">
        <f>SUM(I471:I472)</f>
        <v>7835</v>
      </c>
      <c r="J473" s="53">
        <f>SUM(J471:J472)</f>
        <v>7835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1375133.2900000028</v>
      </c>
      <c r="G475" s="53">
        <f>(G464+G469)- G473</f>
        <v>1376.2200000000303</v>
      </c>
      <c r="H475" s="53">
        <f>(H464+H469)- H473</f>
        <v>120100.45999999996</v>
      </c>
      <c r="I475" s="53">
        <f>(I464+I469)- I473</f>
        <v>0</v>
      </c>
      <c r="J475" s="53">
        <f>(J464+J469)- J473</f>
        <v>621791.89999999991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204665.07+1306374.5</f>
        <v>1511039.57</v>
      </c>
      <c r="G520" s="18">
        <f>32246.09+496138.41</f>
        <v>528384.5</v>
      </c>
      <c r="H520" s="18">
        <f>182094.2</f>
        <v>182094.2</v>
      </c>
      <c r="I520" s="18">
        <f>11792.45+2187.75</f>
        <v>13980.2</v>
      </c>
      <c r="J520" s="18">
        <f>2021.71</f>
        <v>2021.71</v>
      </c>
      <c r="K520" s="18"/>
      <c r="L520" s="88">
        <f>SUM(F520:K520)</f>
        <v>2237520.1800000002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96312.97+352391.84</f>
        <v>448704.81000000006</v>
      </c>
      <c r="G522" s="18">
        <f>15174.63+232701.2</f>
        <v>247875.83000000002</v>
      </c>
      <c r="H522" s="18">
        <f>85691.31+644454.66</f>
        <v>730145.97</v>
      </c>
      <c r="I522" s="18">
        <f>5549.39+1957.34</f>
        <v>7506.7300000000005</v>
      </c>
      <c r="J522" s="18">
        <v>951.4</v>
      </c>
      <c r="K522" s="18"/>
      <c r="L522" s="88">
        <f>SUM(F522:K522)</f>
        <v>1435184.74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1959744.3800000001</v>
      </c>
      <c r="G523" s="108">
        <f t="shared" ref="G523:L523" si="36">SUM(G520:G522)</f>
        <v>776260.33000000007</v>
      </c>
      <c r="H523" s="108">
        <f t="shared" si="36"/>
        <v>912240.16999999993</v>
      </c>
      <c r="I523" s="108">
        <f t="shared" si="36"/>
        <v>21486.93</v>
      </c>
      <c r="J523" s="108">
        <f t="shared" si="36"/>
        <v>2973.11</v>
      </c>
      <c r="K523" s="108">
        <f t="shared" si="36"/>
        <v>0</v>
      </c>
      <c r="L523" s="89">
        <f t="shared" si="36"/>
        <v>3672704.92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(306477.15*0.68)+11235.89</f>
        <v>219640.35200000001</v>
      </c>
      <c r="G525" s="18">
        <f>(100215.95*0.68)+3131.02</f>
        <v>71277.866000000009</v>
      </c>
      <c r="H525" s="18">
        <f>388977.81</f>
        <v>388977.81</v>
      </c>
      <c r="I525" s="18">
        <v>1151.71</v>
      </c>
      <c r="J525" s="18" t="s">
        <v>287</v>
      </c>
      <c r="K525" s="18"/>
      <c r="L525" s="88">
        <f>SUM(F525:K525)</f>
        <v>681047.7379999999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>
        <v>541.98</v>
      </c>
      <c r="J526" s="18"/>
      <c r="K526" s="18"/>
      <c r="L526" s="88">
        <f>SUM(F526:K526)</f>
        <v>541.98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(0.32*306477.15)+5287.47</f>
        <v>103360.15800000001</v>
      </c>
      <c r="G527" s="18">
        <f>(100215.95*0.32)+1473.41</f>
        <v>33542.514000000003</v>
      </c>
      <c r="H527" s="18">
        <f>183048.38</f>
        <v>183048.38</v>
      </c>
      <c r="I527" s="18"/>
      <c r="J527" s="18"/>
      <c r="K527" s="18"/>
      <c r="L527" s="88">
        <f>SUM(F527:K527)</f>
        <v>319951.05200000003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323000.51</v>
      </c>
      <c r="G528" s="89">
        <f t="shared" ref="G528:L528" si="37">SUM(G525:G527)</f>
        <v>104820.38</v>
      </c>
      <c r="H528" s="89">
        <f t="shared" si="37"/>
        <v>572026.18999999994</v>
      </c>
      <c r="I528" s="89">
        <f t="shared" si="37"/>
        <v>1693.69</v>
      </c>
      <c r="J528" s="89">
        <f t="shared" si="37"/>
        <v>0</v>
      </c>
      <c r="K528" s="89">
        <f t="shared" si="37"/>
        <v>0</v>
      </c>
      <c r="L528" s="89">
        <f t="shared" si="37"/>
        <v>1001540.7699999999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126003*0.68</f>
        <v>85682.040000000008</v>
      </c>
      <c r="G530" s="18">
        <f>51815.45*0.68</f>
        <v>35234.506000000001</v>
      </c>
      <c r="H530" s="18">
        <f>7811.75*0.68</f>
        <v>5311.9900000000007</v>
      </c>
      <c r="I530" s="18">
        <f>670.96*0.68</f>
        <v>456.25280000000004</v>
      </c>
      <c r="J530" s="18"/>
      <c r="K530" s="18">
        <f>67*0.68</f>
        <v>45.56</v>
      </c>
      <c r="L530" s="88">
        <f>SUM(F530:K530)</f>
        <v>126730.34880000001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126003*0.32</f>
        <v>40320.959999999999</v>
      </c>
      <c r="G532" s="18">
        <f>51815.45*0.32</f>
        <v>16580.944</v>
      </c>
      <c r="H532" s="18">
        <f>7811.75*0.32</f>
        <v>2499.7600000000002</v>
      </c>
      <c r="I532" s="18">
        <f>670.96*0.32</f>
        <v>214.70720000000003</v>
      </c>
      <c r="J532" s="18"/>
      <c r="K532" s="18">
        <f>67*0.32</f>
        <v>21.44</v>
      </c>
      <c r="L532" s="88">
        <f>SUM(F532:K532)</f>
        <v>59637.811199999996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126003</v>
      </c>
      <c r="G533" s="89">
        <f t="shared" ref="G533:L533" si="38">SUM(G530:G532)</f>
        <v>51815.45</v>
      </c>
      <c r="H533" s="89">
        <f t="shared" si="38"/>
        <v>7811.7500000000009</v>
      </c>
      <c r="I533" s="89">
        <f t="shared" si="38"/>
        <v>670.96</v>
      </c>
      <c r="J533" s="89">
        <f t="shared" si="38"/>
        <v>0</v>
      </c>
      <c r="K533" s="89">
        <f t="shared" si="38"/>
        <v>67</v>
      </c>
      <c r="L533" s="89">
        <f t="shared" si="38"/>
        <v>186368.16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11277.38*0.68</f>
        <v>7668.6184000000003</v>
      </c>
      <c r="I535" s="18"/>
      <c r="J535" s="18"/>
      <c r="K535" s="18"/>
      <c r="L535" s="88">
        <f>SUM(F535:K535)</f>
        <v>7668.6184000000003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11277.38*0.32</f>
        <v>3608.7615999999998</v>
      </c>
      <c r="I537" s="18"/>
      <c r="J537" s="18"/>
      <c r="K537" s="18"/>
      <c r="L537" s="88">
        <f>SUM(F537:K537)</f>
        <v>3608.7615999999998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11277.380000000001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11277.380000000001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181629.15*0.68</f>
        <v>123507.822</v>
      </c>
      <c r="I540" s="18"/>
      <c r="J540" s="18"/>
      <c r="K540" s="18"/>
      <c r="L540" s="88">
        <f>SUM(F540:K540)</f>
        <v>123507.822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181629.15*0.32</f>
        <v>58121.328000000001</v>
      </c>
      <c r="I542" s="18"/>
      <c r="J542" s="18"/>
      <c r="K542" s="18"/>
      <c r="L542" s="88">
        <f>SUM(F542:K542)</f>
        <v>58121.328000000001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181629.15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181629.15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2408747.89</v>
      </c>
      <c r="G544" s="89">
        <f t="shared" ref="G544:L544" si="41">G523+G528+G533+G538+G543</f>
        <v>932896.16</v>
      </c>
      <c r="H544" s="89">
        <f t="shared" si="41"/>
        <v>1684984.6399999997</v>
      </c>
      <c r="I544" s="89">
        <f t="shared" si="41"/>
        <v>23851.579999999998</v>
      </c>
      <c r="J544" s="89">
        <f t="shared" si="41"/>
        <v>2973.11</v>
      </c>
      <c r="K544" s="89">
        <f t="shared" si="41"/>
        <v>67</v>
      </c>
      <c r="L544" s="89">
        <f t="shared" si="41"/>
        <v>5053520.38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2237520.1800000002</v>
      </c>
      <c r="G548" s="87">
        <f>L525</f>
        <v>681047.7379999999</v>
      </c>
      <c r="H548" s="87">
        <f>L530</f>
        <v>126730.34880000001</v>
      </c>
      <c r="I548" s="87">
        <f>L535</f>
        <v>7668.6184000000003</v>
      </c>
      <c r="J548" s="87">
        <f>L540</f>
        <v>123507.822</v>
      </c>
      <c r="K548" s="87">
        <f>SUM(F548:J548)</f>
        <v>3176474.7072000001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541.98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541.98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1435184.74</v>
      </c>
      <c r="G550" s="87">
        <f>L527</f>
        <v>319951.05200000003</v>
      </c>
      <c r="H550" s="87">
        <f>L532</f>
        <v>59637.811199999996</v>
      </c>
      <c r="I550" s="87">
        <f>L537</f>
        <v>3608.7615999999998</v>
      </c>
      <c r="J550" s="87">
        <f>L542</f>
        <v>58121.328000000001</v>
      </c>
      <c r="K550" s="87">
        <f>SUM(F550:J550)</f>
        <v>1876503.6927999998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3672704.92</v>
      </c>
      <c r="G551" s="89">
        <f t="shared" si="42"/>
        <v>1001540.7699999999</v>
      </c>
      <c r="H551" s="89">
        <f t="shared" si="42"/>
        <v>186368.16</v>
      </c>
      <c r="I551" s="89">
        <f t="shared" si="42"/>
        <v>11277.380000000001</v>
      </c>
      <c r="J551" s="89">
        <f t="shared" si="42"/>
        <v>181629.15</v>
      </c>
      <c r="K551" s="89">
        <f t="shared" si="42"/>
        <v>5053520.38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f>171711.15</f>
        <v>171711.15</v>
      </c>
      <c r="I579" s="87">
        <f t="shared" si="47"/>
        <v>171711.15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267785.33*0.68</f>
        <v>182094.02440000002</v>
      </c>
      <c r="G581" s="18"/>
      <c r="H581" s="18">
        <f>471942.44+85691.31</f>
        <v>557633.75</v>
      </c>
      <c r="I581" s="87">
        <f t="shared" si="47"/>
        <v>739727.77439999999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f>259069.09</f>
        <v>259069.09</v>
      </c>
      <c r="I584" s="87">
        <f t="shared" si="47"/>
        <v>259069.09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(549902.2*0.68)+509.18</f>
        <v>374442.67599999998</v>
      </c>
      <c r="I590" s="18"/>
      <c r="J590" s="18">
        <f>(549902.2*0.32)+239.61</f>
        <v>176208.31399999998</v>
      </c>
      <c r="K590" s="104">
        <f t="shared" ref="K590:K596" si="48">SUM(H590:J590)</f>
        <v>550650.99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181629.15*0.68</f>
        <v>123507.822</v>
      </c>
      <c r="I591" s="18"/>
      <c r="J591" s="18">
        <f>181629.15*0.32</f>
        <v>58121.328000000001</v>
      </c>
      <c r="K591" s="104">
        <f t="shared" si="48"/>
        <v>181629.15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71365</v>
      </c>
      <c r="K592" s="104">
        <f t="shared" si="48"/>
        <v>71365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5272.9</v>
      </c>
      <c r="I593" s="18"/>
      <c r="J593" s="18">
        <f>31882.08</f>
        <v>31882.080000000002</v>
      </c>
      <c r="K593" s="104">
        <f t="shared" si="48"/>
        <v>37154.980000000003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3660.05+3439.8+6826.91</f>
        <v>13926.76</v>
      </c>
      <c r="I594" s="18"/>
      <c r="J594" s="18">
        <f>5676.12</f>
        <v>5676.12</v>
      </c>
      <c r="K594" s="104">
        <f t="shared" si="48"/>
        <v>19602.88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517150.158</v>
      </c>
      <c r="I597" s="108">
        <f>SUM(I590:I596)</f>
        <v>0</v>
      </c>
      <c r="J597" s="108">
        <f>SUM(J590:J596)</f>
        <v>343252.842</v>
      </c>
      <c r="K597" s="108">
        <f>SUM(K590:K596)</f>
        <v>860403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105100.22+47206.13+30308.36+49193.62+2155.84+6744.22+16731.24+42485.04</f>
        <v>299924.67</v>
      </c>
      <c r="I603" s="18"/>
      <c r="J603" s="18">
        <f>49458.92+115789.47+1014.51+7873.52+19992.96+990.53</f>
        <v>195119.91</v>
      </c>
      <c r="K603" s="104">
        <f>SUM(H603:J603)</f>
        <v>495044.57999999996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299924.67</v>
      </c>
      <c r="I604" s="108">
        <f>SUM(I601:I603)</f>
        <v>0</v>
      </c>
      <c r="J604" s="108">
        <f>SUM(J601:J603)</f>
        <v>195119.91</v>
      </c>
      <c r="K604" s="108">
        <f>SUM(K601:K603)</f>
        <v>495044.57999999996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28185.85*0.68</f>
        <v>19166.378000000001</v>
      </c>
      <c r="G610" s="18">
        <f>4174.56*0.68</f>
        <v>2838.7008000000005</v>
      </c>
      <c r="H610" s="18">
        <f>31568.85*0.68</f>
        <v>21466.817999999999</v>
      </c>
      <c r="I610" s="18">
        <f>159.14*0.68</f>
        <v>108.2152</v>
      </c>
      <c r="J610" s="18"/>
      <c r="K610" s="18"/>
      <c r="L610" s="88">
        <f>SUM(F610:K610)</f>
        <v>43580.112000000001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 t="s">
        <v>287</v>
      </c>
      <c r="G611" s="18" t="s">
        <v>287</v>
      </c>
      <c r="H611" s="18" t="s">
        <v>287</v>
      </c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28185.85*0.32</f>
        <v>9019.4719999999998</v>
      </c>
      <c r="G612" s="18">
        <f>4174.56*0.32</f>
        <v>1335.8592000000001</v>
      </c>
      <c r="H612" s="18">
        <f>31568.85*0.32</f>
        <v>10102.031999999999</v>
      </c>
      <c r="I612" s="18">
        <f>159.14*0.32</f>
        <v>50.924799999999998</v>
      </c>
      <c r="J612" s="18"/>
      <c r="K612" s="18"/>
      <c r="L612" s="88">
        <f>SUM(F612:K612)</f>
        <v>20508.288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28185.85</v>
      </c>
      <c r="G613" s="108">
        <f t="shared" si="49"/>
        <v>4174.5600000000004</v>
      </c>
      <c r="H613" s="108">
        <f t="shared" si="49"/>
        <v>31568.85</v>
      </c>
      <c r="I613" s="108">
        <f t="shared" si="49"/>
        <v>159.13999999999999</v>
      </c>
      <c r="J613" s="108">
        <f t="shared" si="49"/>
        <v>0</v>
      </c>
      <c r="K613" s="108">
        <f t="shared" si="49"/>
        <v>0</v>
      </c>
      <c r="L613" s="89">
        <f t="shared" si="49"/>
        <v>64088.4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1375133.29</v>
      </c>
      <c r="H616" s="109">
        <f>SUM(F51)</f>
        <v>1375133.29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35112.160000000003</v>
      </c>
      <c r="H617" s="109">
        <f>SUM(G51)</f>
        <v>35112.160000000003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108000.03</v>
      </c>
      <c r="H618" s="109">
        <f>SUM(H51)</f>
        <v>108000.03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621791.9</v>
      </c>
      <c r="H620" s="109">
        <f>SUM(J51)</f>
        <v>621791.9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1375133.29</v>
      </c>
      <c r="H621" s="109">
        <f>F475</f>
        <v>1375133.2900000028</v>
      </c>
      <c r="I621" s="121" t="s">
        <v>101</v>
      </c>
      <c r="J621" s="109">
        <f t="shared" ref="J621:J654" si="50">G621-H621</f>
        <v>-2.7939677238464355E-9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1376.22</v>
      </c>
      <c r="H622" s="109">
        <f>G475</f>
        <v>1376.2200000000303</v>
      </c>
      <c r="I622" s="121" t="s">
        <v>102</v>
      </c>
      <c r="J622" s="109">
        <f t="shared" si="50"/>
        <v>-3.0240698833949864E-11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120100.46</v>
      </c>
      <c r="H623" s="109">
        <f>H475</f>
        <v>120100.45999999996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621791.9</v>
      </c>
      <c r="H625" s="109">
        <f>J475</f>
        <v>621791.89999999991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19780976.32</v>
      </c>
      <c r="H626" s="104">
        <f>SUM(F467)</f>
        <v>19780976.32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427503.24</v>
      </c>
      <c r="H627" s="104">
        <f>SUM(G467)</f>
        <v>427503.24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854815.2699999999</v>
      </c>
      <c r="H628" s="104">
        <f>SUM(H467)</f>
        <v>854815.27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7835</v>
      </c>
      <c r="H629" s="104">
        <f>SUM(I467)</f>
        <v>7835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25468.32</v>
      </c>
      <c r="H630" s="104">
        <f>SUM(J467)</f>
        <v>25468.32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19643012.899999999</v>
      </c>
      <c r="H631" s="104">
        <f>SUM(F471)</f>
        <v>19643012.899999999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876862.35</v>
      </c>
      <c r="H632" s="104">
        <f>SUM(H471)</f>
        <v>876862.35000000009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426502.98000000004</v>
      </c>
      <c r="H634" s="104">
        <f>SUM(G471)</f>
        <v>426502.98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7835</v>
      </c>
      <c r="H635" s="104">
        <f>SUM(I471)</f>
        <v>7835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25468.32</v>
      </c>
      <c r="H636" s="164">
        <f>SUM(J467)</f>
        <v>25468.32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7835</v>
      </c>
      <c r="H637" s="164">
        <f>SUM(J471)</f>
        <v>7835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621791.9</v>
      </c>
      <c r="H638" s="104">
        <f>SUM(F460)</f>
        <v>621791.9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621791.9</v>
      </c>
      <c r="H641" s="104">
        <f>SUM(I460)</f>
        <v>621791.9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468.32</v>
      </c>
      <c r="H643" s="104">
        <f>H407</f>
        <v>468.32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25468.32</v>
      </c>
      <c r="H645" s="104">
        <f>L407</f>
        <v>25468.32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860403</v>
      </c>
      <c r="H646" s="104">
        <f>L207+L225+L243</f>
        <v>860403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495044.57999999996</v>
      </c>
      <c r="H647" s="104">
        <f>(J256+J337)-(J254+J335)</f>
        <v>495044.57999999996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517150.16</v>
      </c>
      <c r="H648" s="104">
        <f>H597</f>
        <v>517150.158</v>
      </c>
      <c r="I648" s="140" t="s">
        <v>389</v>
      </c>
      <c r="J648" s="109">
        <f t="shared" si="50"/>
        <v>1.9999999785795808E-3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343252.84</v>
      </c>
      <c r="H650" s="104">
        <f>J597</f>
        <v>343252.842</v>
      </c>
      <c r="I650" s="140" t="s">
        <v>391</v>
      </c>
      <c r="J650" s="109">
        <f t="shared" si="50"/>
        <v>-1.9999999785795808E-3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13307093.26</v>
      </c>
      <c r="G659" s="19">
        <f>(L228+L308+L358)</f>
        <v>0</v>
      </c>
      <c r="H659" s="19">
        <f>(L246+L327+L359)</f>
        <v>7614284.9699999988</v>
      </c>
      <c r="I659" s="19">
        <f>SUM(F659:H659)</f>
        <v>20921378.229999997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164393.40204059065</v>
      </c>
      <c r="G660" s="19">
        <f>(L358/IF(SUM(L357:L359)=0,1,SUM(L357:L359))*(SUM(G96:G109)))</f>
        <v>0</v>
      </c>
      <c r="H660" s="19">
        <f>(L359/IF(SUM(L357:L359)=0,1,SUM(L357:L359))*(SUM(G96:G109)))</f>
        <v>77361.597959409337</v>
      </c>
      <c r="I660" s="19">
        <f>SUM(F660:H660)</f>
        <v>241755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517150.16</v>
      </c>
      <c r="G661" s="19">
        <f>(L225+L305)-(J225+J305)</f>
        <v>0</v>
      </c>
      <c r="H661" s="19">
        <f>(L243+L324)-(J243+J324)</f>
        <v>343252.84</v>
      </c>
      <c r="I661" s="19">
        <f>SUM(F661:H661)</f>
        <v>860403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525598.8064</v>
      </c>
      <c r="G662" s="200">
        <f>SUM(G574:G586)+SUM(I601:I603)+L611</f>
        <v>0</v>
      </c>
      <c r="H662" s="200">
        <f>SUM(H574:H586)+SUM(J601:J603)+L612</f>
        <v>1204042.1879999998</v>
      </c>
      <c r="I662" s="19">
        <f>SUM(F662:H662)</f>
        <v>1729640.9943999997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12099950.891559409</v>
      </c>
      <c r="G663" s="19">
        <f>G659-SUM(G660:G662)</f>
        <v>0</v>
      </c>
      <c r="H663" s="19">
        <f>H659-SUM(H660:H662)</f>
        <v>5989628.3440405894</v>
      </c>
      <c r="I663" s="19">
        <f>I659-SUM(I660:I662)</f>
        <v>18089579.235599998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860.98</v>
      </c>
      <c r="G664" s="249"/>
      <c r="H664" s="249">
        <v>387.26</v>
      </c>
      <c r="I664" s="19">
        <f>SUM(F664:H664)</f>
        <v>1248.24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14053.7</v>
      </c>
      <c r="G666" s="19" t="e">
        <f>ROUND(G663/G664,2)</f>
        <v>#DIV/0!</v>
      </c>
      <c r="H666" s="19">
        <f>ROUND(H663/H664,2)</f>
        <v>15466.68</v>
      </c>
      <c r="I666" s="19">
        <f>ROUND(I663/I664,2)</f>
        <v>14492.07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-28.05</v>
      </c>
      <c r="I669" s="19">
        <f>SUM(F669:H669)</f>
        <v>-28.05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14053.7</v>
      </c>
      <c r="G671" s="19" t="e">
        <f>ROUND((G663+G668)/(G664+G669),2)</f>
        <v>#DIV/0!</v>
      </c>
      <c r="H671" s="19">
        <f>ROUND((H663+H668)/(H664+H669),2)</f>
        <v>16674.45</v>
      </c>
      <c r="I671" s="19">
        <f>ROUND((I663+I668)/(I664+I669),2)</f>
        <v>14825.22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13" sqref="C13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Masoma Valley Regional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5539551.8499999996</v>
      </c>
      <c r="C9" s="230">
        <f>'DOE25'!G196+'DOE25'!G214+'DOE25'!G232+'DOE25'!G275+'DOE25'!G294+'DOE25'!G313</f>
        <v>2635203.2199999997</v>
      </c>
    </row>
    <row r="10" spans="1:3">
      <c r="A10" t="s">
        <v>779</v>
      </c>
      <c r="B10" s="241">
        <f>4918204.74+62932.45+15760.75+8027.52</f>
        <v>5004925.46</v>
      </c>
      <c r="C10" s="241">
        <f>3224.98+269623.4+233980.44+296344.26+460748.99+249.7+20858.42+17996.73+35381.46+38613.74+12.91+1296.27+305.14+4774.13+72792.58+60126.36+111502.7+112461.61+2404.33+112475.62+93109.98+169974.32+172793.83+22800+8.56+1159.06+1854.19+51690.34+22800+42215.55+44474.22</f>
        <v>2478053.8199999998</v>
      </c>
    </row>
    <row r="11" spans="1:3">
      <c r="A11" t="s">
        <v>780</v>
      </c>
      <c r="B11" s="241">
        <f>342160.44+21224.5</f>
        <v>363384.94</v>
      </c>
      <c r="C11" s="241">
        <f>41818.08+38983.08+3284.38+4338.13+10246.8+5233.26+4015.01+5996+64+4861.11+7148.96+270.73+450.75+1610.93+1949.36+2365.65</f>
        <v>132636.23000000001</v>
      </c>
    </row>
    <row r="12" spans="1:3">
      <c r="A12" t="s">
        <v>781</v>
      </c>
      <c r="B12" s="241">
        <f>11972.65+16227.68+133935.08+9106.04</f>
        <v>171241.44999999998</v>
      </c>
      <c r="C12" s="241">
        <f>9013.68+153.12+1241.32+712.52+768.64+2836.6+105.44+97.94+120.92+828.12+955.08+4215.25+2014.32+265.98+711.11+473.13</f>
        <v>24513.170000000006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5539551.8500000006</v>
      </c>
      <c r="C13" s="232">
        <f>SUM(C10:C12)</f>
        <v>2635203.2199999997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2219903.7699999996</v>
      </c>
      <c r="C18" s="230">
        <f>'DOE25'!G197+'DOE25'!G215+'DOE25'!G233+'DOE25'!G276+'DOE25'!G295+'DOE25'!G314</f>
        <v>943732.5900000002</v>
      </c>
    </row>
    <row r="19" spans="1:3">
      <c r="A19" t="s">
        <v>779</v>
      </c>
      <c r="B19" s="241">
        <f>62902+237844.12+33710.55+110098.75+112565.96+169791+172025.78+28579.52+2959.2+18804.56</f>
        <v>949281.44000000006</v>
      </c>
      <c r="C19" s="241">
        <f>26930.9+37057.32+5035.76+7050.11+30595.32+28212.14+39280.74+54012.56+2068+3137.2+665.28+1568.63+2068+2403+3714.28+3395.92+4215.42+1114.38+18063.81+4604.43+10397.83+8041.55+8259.58+12502.84+12487.57+765.4+5643.51+12193.32+12406.88+12719.73+19186.41+19438.82+738.91+2840+24.09+226.4+15.98+1438.52+1732.02+4059.35</f>
        <v>420311.91000000009</v>
      </c>
    </row>
    <row r="20" spans="1:3">
      <c r="A20" t="s">
        <v>780</v>
      </c>
      <c r="B20" s="241">
        <f>1096228.28+9381.29</f>
        <v>1105609.57</v>
      </c>
      <c r="C20" s="241">
        <f>10005.42+75538.72+21487.62+96684.06+109483.01+846.96+6494.1+2999.26+7646.32+6827.04+2611.06+26391.74+16282.97+18478.78+12850.51+5533.83+1036.34+2011.94+10428.78+5551+12936.89+13386.27+717.63+295.21+4510.39</f>
        <v>471035.85000000009</v>
      </c>
    </row>
    <row r="21" spans="1:3">
      <c r="A21" t="s">
        <v>781</v>
      </c>
      <c r="B21" s="241">
        <f>85037+22486.4+40966+16523.36</f>
        <v>165012.76</v>
      </c>
      <c r="C21" s="241">
        <f>26084.96+2186.35+9512.28+11310.21+2840+451.03</f>
        <v>52384.829999999994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2219903.7700000005</v>
      </c>
      <c r="C22" s="232">
        <f>SUM(C19:C21)</f>
        <v>943732.5900000002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80532</v>
      </c>
      <c r="C36" s="236">
        <f>'DOE25'!G199+'DOE25'!G217+'DOE25'!G235+'DOE25'!G278+'DOE25'!G297+'DOE25'!G316</f>
        <v>8853.4</v>
      </c>
    </row>
    <row r="37" spans="1:3">
      <c r="A37" t="s">
        <v>779</v>
      </c>
      <c r="B37" s="241">
        <v>80532</v>
      </c>
      <c r="C37" s="241">
        <f>6114.5+106.57+2632.33</f>
        <v>8853.4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80532</v>
      </c>
      <c r="C40" s="232">
        <f>SUM(C37:C39)</f>
        <v>8853.4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Masoma Valley Regional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12991009.52</v>
      </c>
      <c r="D5" s="20">
        <f>SUM('DOE25'!L196:L199)+SUM('DOE25'!L214:L217)+SUM('DOE25'!L232:L235)-F5-G5</f>
        <v>12733719.189999999</v>
      </c>
      <c r="E5" s="244"/>
      <c r="F5" s="256">
        <f>SUM('DOE25'!J196:J199)+SUM('DOE25'!J214:J217)+SUM('DOE25'!J232:J235)</f>
        <v>242376.26</v>
      </c>
      <c r="G5" s="53">
        <f>SUM('DOE25'!K196:K199)+SUM('DOE25'!K214:K217)+SUM('DOE25'!K232:K235)</f>
        <v>14914.07</v>
      </c>
      <c r="H5" s="260"/>
    </row>
    <row r="6" spans="1:9">
      <c r="A6" s="32">
        <v>2100</v>
      </c>
      <c r="B6" t="s">
        <v>801</v>
      </c>
      <c r="C6" s="246">
        <f t="shared" si="0"/>
        <v>1201660.75</v>
      </c>
      <c r="D6" s="20">
        <f>'DOE25'!L201+'DOE25'!L219+'DOE25'!L237-F6-G6</f>
        <v>1201660.75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495459.55000000005</v>
      </c>
      <c r="D7" s="20">
        <f>'DOE25'!L202+'DOE25'!L220+'DOE25'!L238-F7-G7</f>
        <v>483123.28</v>
      </c>
      <c r="E7" s="244"/>
      <c r="F7" s="256">
        <f>'DOE25'!J202+'DOE25'!J220+'DOE25'!J238</f>
        <v>12336.27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648342.89</v>
      </c>
      <c r="D8" s="244"/>
      <c r="E8" s="20">
        <f>'DOE25'!L203+'DOE25'!L221+'DOE25'!L239-F8-G8-D9-D11</f>
        <v>642808.72</v>
      </c>
      <c r="F8" s="256">
        <f>'DOE25'!J203+'DOE25'!J221+'DOE25'!J239</f>
        <v>0</v>
      </c>
      <c r="G8" s="53">
        <f>'DOE25'!K203+'DOE25'!K221+'DOE25'!K239</f>
        <v>5534.17</v>
      </c>
      <c r="H8" s="260"/>
    </row>
    <row r="9" spans="1:9">
      <c r="A9" s="32">
        <v>2310</v>
      </c>
      <c r="B9" t="s">
        <v>818</v>
      </c>
      <c r="C9" s="246">
        <f t="shared" si="0"/>
        <v>33609.57</v>
      </c>
      <c r="D9" s="245">
        <v>33609.57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24300</v>
      </c>
      <c r="D10" s="244"/>
      <c r="E10" s="245">
        <v>24300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278742.53999999998</v>
      </c>
      <c r="D11" s="245">
        <f>70203.56+9874.96+90251.28+35511.87+49680.49+23220.38</f>
        <v>278742.53999999998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1240101.1599999999</v>
      </c>
      <c r="D12" s="20">
        <f>'DOE25'!L204+'DOE25'!L222+'DOE25'!L240-F12-G12</f>
        <v>1239746.4099999999</v>
      </c>
      <c r="E12" s="244"/>
      <c r="F12" s="256">
        <f>'DOE25'!J204+'DOE25'!J222+'DOE25'!J240</f>
        <v>339.75</v>
      </c>
      <c r="G12" s="53">
        <f>'DOE25'!K204+'DOE25'!K222+'DOE25'!K240</f>
        <v>15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1866109.9500000002</v>
      </c>
      <c r="D14" s="20">
        <f>'DOE25'!L206+'DOE25'!L224+'DOE25'!L242-F14-G14</f>
        <v>1724105.5100000002</v>
      </c>
      <c r="E14" s="244"/>
      <c r="F14" s="256">
        <f>'DOE25'!J206+'DOE25'!J224+'DOE25'!J242</f>
        <v>142004.44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860403</v>
      </c>
      <c r="D15" s="20">
        <f>'DOE25'!L207+'DOE25'!L225+'DOE25'!L243-F15-G15</f>
        <v>860403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2573.9700000000003</v>
      </c>
      <c r="D16" s="244"/>
      <c r="E16" s="20">
        <f>'DOE25'!L208+'DOE25'!L226+'DOE25'!L244-F16-G16</f>
        <v>2573.9700000000003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426502.98000000004</v>
      </c>
      <c r="D29" s="20">
        <f>'DOE25'!L357+'DOE25'!L358+'DOE25'!L359-'DOE25'!I366-F29-G29</f>
        <v>426502.98000000004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876862.35</v>
      </c>
      <c r="D31" s="20">
        <f>'DOE25'!L289+'DOE25'!L308+'DOE25'!L327+'DOE25'!L332+'DOE25'!L333+'DOE25'!L334-F31-G31</f>
        <v>771936.87</v>
      </c>
      <c r="E31" s="244"/>
      <c r="F31" s="256">
        <f>'DOE25'!J289+'DOE25'!J308+'DOE25'!J327+'DOE25'!J332+'DOE25'!J333+'DOE25'!J334</f>
        <v>97987.86</v>
      </c>
      <c r="G31" s="53">
        <f>'DOE25'!K289+'DOE25'!K308+'DOE25'!K327+'DOE25'!K332+'DOE25'!K333+'DOE25'!K334</f>
        <v>6937.62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19753550.100000001</v>
      </c>
      <c r="E33" s="247">
        <f>SUM(E5:E31)</f>
        <v>669682.68999999994</v>
      </c>
      <c r="F33" s="247">
        <f>SUM(F5:F31)</f>
        <v>495044.57999999996</v>
      </c>
      <c r="G33" s="247">
        <f>SUM(G5:G31)</f>
        <v>27400.859999999997</v>
      </c>
      <c r="H33" s="247">
        <f>SUM(H5:H31)</f>
        <v>0</v>
      </c>
    </row>
    <row r="35" spans="2:8" ht="12" thickBot="1">
      <c r="B35" s="254" t="s">
        <v>847</v>
      </c>
      <c r="D35" s="255">
        <f>E33</f>
        <v>669682.68999999994</v>
      </c>
      <c r="E35" s="250"/>
    </row>
    <row r="36" spans="2:8" ht="12" thickTop="1">
      <c r="B36" t="s">
        <v>815</v>
      </c>
      <c r="D36" s="20">
        <f>D33</f>
        <v>19753550.100000001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Masoma Valley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1276333.32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15355.91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621791.9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82656.33</v>
      </c>
      <c r="D12" s="95">
        <f>'DOE25'!G13</f>
        <v>1364.94</v>
      </c>
      <c r="E12" s="95">
        <f>'DOE25'!H13</f>
        <v>105219.03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787.73</v>
      </c>
      <c r="D13" s="95">
        <f>'DOE25'!G14</f>
        <v>33747.22</v>
      </c>
      <c r="E13" s="95">
        <f>'DOE25'!H14</f>
        <v>2781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1375133.29</v>
      </c>
      <c r="D18" s="41">
        <f>SUM(D8:D17)</f>
        <v>35112.160000000003</v>
      </c>
      <c r="E18" s="41">
        <f>SUM(E8:E17)</f>
        <v>108000.03</v>
      </c>
      <c r="F18" s="41">
        <f>SUM(F8:F17)</f>
        <v>0</v>
      </c>
      <c r="G18" s="41">
        <f>SUM(G8:G17)</f>
        <v>621791.9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27456.93</v>
      </c>
      <c r="E21" s="95">
        <f>'DOE25'!H22</f>
        <v>-12100.43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6279.01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0</v>
      </c>
      <c r="D31" s="41">
        <f>SUM(D21:D30)</f>
        <v>33735.94</v>
      </c>
      <c r="E31" s="41">
        <f>SUM(E21:E30)</f>
        <v>-12100.43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591644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621791.9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1376.22</v>
      </c>
      <c r="E47" s="95">
        <f>'DOE25'!H48</f>
        <v>120100.46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758489.29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1375133.29</v>
      </c>
      <c r="D49" s="41">
        <f>SUM(D34:D48)</f>
        <v>1376.22</v>
      </c>
      <c r="E49" s="41">
        <f>SUM(E34:E48)</f>
        <v>120100.46</v>
      </c>
      <c r="F49" s="41">
        <f>SUM(F34:F48)</f>
        <v>0</v>
      </c>
      <c r="G49" s="41">
        <f>SUM(G34:G48)</f>
        <v>621791.9</v>
      </c>
      <c r="H49" s="124"/>
      <c r="I49" s="124"/>
    </row>
    <row r="50" spans="1:9" ht="12" thickTop="1">
      <c r="A50" s="38" t="s">
        <v>895</v>
      </c>
      <c r="B50" s="2"/>
      <c r="C50" s="41">
        <f>C49+C31</f>
        <v>1375133.29</v>
      </c>
      <c r="D50" s="41">
        <f>D49+D31</f>
        <v>35112.160000000003</v>
      </c>
      <c r="E50" s="41">
        <f>E49+E31</f>
        <v>108000.03</v>
      </c>
      <c r="F50" s="41">
        <f>F49+F31</f>
        <v>0</v>
      </c>
      <c r="G50" s="41">
        <f>G49+G31</f>
        <v>621791.9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11944520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1039.3599999999999</v>
      </c>
      <c r="D56" s="24" t="s">
        <v>289</v>
      </c>
      <c r="E56" s="95">
        <f>'DOE25'!H78</f>
        <v>124284.5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7245.17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468.32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241755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7312.28</v>
      </c>
      <c r="D60" s="95">
        <f>SUM('DOE25'!G97:G109)</f>
        <v>0</v>
      </c>
      <c r="E60" s="95">
        <f>SUM('DOE25'!H97:H109)</f>
        <v>75282.850000000006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15596.810000000001</v>
      </c>
      <c r="D61" s="130">
        <f>SUM(D56:D60)</f>
        <v>241755</v>
      </c>
      <c r="E61" s="130">
        <f>SUM(E56:E60)</f>
        <v>199567.35</v>
      </c>
      <c r="F61" s="130">
        <f>SUM(F56:F60)</f>
        <v>0</v>
      </c>
      <c r="G61" s="130">
        <f>SUM(G56:G60)</f>
        <v>468.32</v>
      </c>
      <c r="H61"/>
      <c r="I61"/>
    </row>
    <row r="62" spans="1:9" ht="12" thickTop="1">
      <c r="A62" s="29" t="s">
        <v>175</v>
      </c>
      <c r="B62" s="6"/>
      <c r="C62" s="22">
        <f>C55+C61</f>
        <v>11960116.810000001</v>
      </c>
      <c r="D62" s="22">
        <f>D55+D61</f>
        <v>241755</v>
      </c>
      <c r="E62" s="22">
        <f>E55+E61</f>
        <v>199567.35</v>
      </c>
      <c r="F62" s="22">
        <f>F55+F61</f>
        <v>0</v>
      </c>
      <c r="G62" s="22">
        <f>G55+G61</f>
        <v>468.32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4480025.3499999996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2630506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3881.65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7114413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201520.15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260407.25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5025.83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461927.4</v>
      </c>
      <c r="D77" s="130">
        <f>SUM(D71:D76)</f>
        <v>5025.83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7576340.4000000004</v>
      </c>
      <c r="D80" s="130">
        <f>SUM(D78:D79)+D77+D69</f>
        <v>5025.83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150056.20000000001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91033.09</v>
      </c>
      <c r="D87" s="95">
        <f>SUM('DOE25'!G152:G160)</f>
        <v>180722.41</v>
      </c>
      <c r="E87" s="95">
        <f>SUM('DOE25'!H152:H160)</f>
        <v>655247.91999999993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3429.82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244519.11000000002</v>
      </c>
      <c r="D90" s="131">
        <f>SUM(D84:D89)</f>
        <v>180722.41</v>
      </c>
      <c r="E90" s="131">
        <f>SUM(E84:E89)</f>
        <v>655247.91999999993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7835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7835</v>
      </c>
      <c r="G102" s="86">
        <f>SUM(G92:G101)</f>
        <v>25000</v>
      </c>
    </row>
    <row r="103" spans="1:7" ht="12.75" thickTop="1" thickBot="1">
      <c r="A103" s="33" t="s">
        <v>765</v>
      </c>
      <c r="C103" s="86">
        <f>C62+C80+C90+C102</f>
        <v>19780976.32</v>
      </c>
      <c r="D103" s="86">
        <f>D62+D80+D90+D102</f>
        <v>427503.24</v>
      </c>
      <c r="E103" s="86">
        <f>E62+E80+E90+E102</f>
        <v>854815.2699999999</v>
      </c>
      <c r="F103" s="86">
        <f>F62+F80+F90+F102</f>
        <v>7835</v>
      </c>
      <c r="G103" s="86">
        <f>G62+G80+G102</f>
        <v>25468.32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8599701.8899999987</v>
      </c>
      <c r="D108" s="24" t="s">
        <v>289</v>
      </c>
      <c r="E108" s="95">
        <f>('DOE25'!L275)+('DOE25'!L294)+('DOE25'!L313)</f>
        <v>525409.81999999995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3983791.54</v>
      </c>
      <c r="D109" s="24" t="s">
        <v>289</v>
      </c>
      <c r="E109" s="95">
        <f>('DOE25'!L276)+('DOE25'!L295)+('DOE25'!L314)</f>
        <v>351202.53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259069.09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148447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12991009.52</v>
      </c>
      <c r="D114" s="86">
        <f>SUM(D108:D113)</f>
        <v>0</v>
      </c>
      <c r="E114" s="86">
        <f>SUM(E108:E113)</f>
        <v>876612.35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1201660.75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495459.55000000005</v>
      </c>
      <c r="D118" s="24" t="s">
        <v>289</v>
      </c>
      <c r="E118" s="95">
        <f>+('DOE25'!L281)+('DOE25'!L300)+('DOE25'!L319)</f>
        <v>250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960695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1240101.1599999999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1866109.9500000002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860403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2573.9700000000003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426502.98000000004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6627003.3799999999</v>
      </c>
      <c r="D127" s="86">
        <f>SUM(D117:D126)</f>
        <v>426502.98000000004</v>
      </c>
      <c r="E127" s="86">
        <f>SUM(E117:E126)</f>
        <v>250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7835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7835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468.32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-468.31999999999971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25000</v>
      </c>
      <c r="D143" s="141">
        <f>SUM(D129:D142)</f>
        <v>0</v>
      </c>
      <c r="E143" s="141">
        <f>SUM(E129:E142)</f>
        <v>0</v>
      </c>
      <c r="F143" s="141">
        <f>SUM(F129:F142)</f>
        <v>7835</v>
      </c>
      <c r="G143" s="141">
        <f>SUM(G129:G142)</f>
        <v>7835</v>
      </c>
    </row>
    <row r="144" spans="1:7" ht="12.75" thickTop="1" thickBot="1">
      <c r="A144" s="33" t="s">
        <v>244</v>
      </c>
      <c r="C144" s="86">
        <f>(C114+C127+C143)</f>
        <v>19643012.899999999</v>
      </c>
      <c r="D144" s="86">
        <f>(D114+D127+D143)</f>
        <v>426502.98000000004</v>
      </c>
      <c r="E144" s="86">
        <f>(E114+E127+E143)</f>
        <v>876862.35</v>
      </c>
      <c r="F144" s="86">
        <f>(F114+F127+F143)</f>
        <v>7835</v>
      </c>
      <c r="G144" s="86">
        <f>(G114+G127+G143)</f>
        <v>7835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Masoma Valley Regional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14054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16674</v>
      </c>
    </row>
    <row r="7" spans="1:4">
      <c r="B7" t="s">
        <v>705</v>
      </c>
      <c r="C7" s="179">
        <f>IF('DOE25'!I664+'DOE25'!I669=0,0,ROUND('DOE25'!I671,0))</f>
        <v>14825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9125112</v>
      </c>
      <c r="D10" s="182">
        <f>ROUND((C10/$C$28)*100,1)</f>
        <v>44.1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4334994</v>
      </c>
      <c r="D11" s="182">
        <f>ROUND((C11/$C$28)*100,1)</f>
        <v>21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259069</v>
      </c>
      <c r="D12" s="182">
        <f>ROUND((C12/$C$28)*100,1)</f>
        <v>1.3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148447</v>
      </c>
      <c r="D13" s="182">
        <f>ROUND((C13/$C$28)*100,1)</f>
        <v>0.7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1201661</v>
      </c>
      <c r="D15" s="182">
        <f t="shared" ref="D15:D27" si="0">ROUND((C15/$C$28)*100,1)</f>
        <v>5.8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495710</v>
      </c>
      <c r="D16" s="182">
        <f t="shared" si="0"/>
        <v>2.4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963269</v>
      </c>
      <c r="D17" s="182">
        <f t="shared" si="0"/>
        <v>4.7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1240101</v>
      </c>
      <c r="D18" s="182">
        <f t="shared" si="0"/>
        <v>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1866110</v>
      </c>
      <c r="D20" s="182">
        <f t="shared" si="0"/>
        <v>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860403</v>
      </c>
      <c r="D21" s="182">
        <f t="shared" si="0"/>
        <v>4.2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184748</v>
      </c>
      <c r="D27" s="182">
        <f t="shared" si="0"/>
        <v>0.9</v>
      </c>
    </row>
    <row r="28" spans="1:4">
      <c r="B28" s="187" t="s">
        <v>723</v>
      </c>
      <c r="C28" s="180">
        <f>SUM(C10:C27)</f>
        <v>20679624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7835</v>
      </c>
    </row>
    <row r="30" spans="1:4">
      <c r="B30" s="187" t="s">
        <v>729</v>
      </c>
      <c r="C30" s="180">
        <f>SUM(C28:C29)</f>
        <v>20687459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11944520</v>
      </c>
      <c r="D35" s="182">
        <f t="shared" ref="D35:D40" si="1">ROUND((C35/$C$41)*100,1)</f>
        <v>57.4</v>
      </c>
    </row>
    <row r="36" spans="1:4">
      <c r="B36" s="185" t="s">
        <v>743</v>
      </c>
      <c r="C36" s="179">
        <f>SUM('DOE25'!F111:J111)-SUM('DOE25'!G96:G109)+('DOE25'!F173+'DOE25'!F174+'DOE25'!I173+'DOE25'!I174)-C35</f>
        <v>215632.47999999858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7114413</v>
      </c>
      <c r="D37" s="182">
        <f t="shared" si="1"/>
        <v>34.200000000000003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466953</v>
      </c>
      <c r="D38" s="182">
        <f t="shared" si="1"/>
        <v>2.2000000000000002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1080489</v>
      </c>
      <c r="D39" s="182">
        <f t="shared" si="1"/>
        <v>5.2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20822007.479999997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Masoma Valley Regional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2012-10-17T12:17:34Z</cp:lastPrinted>
  <dcterms:created xsi:type="dcterms:W3CDTF">1997-12-04T19:04:30Z</dcterms:created>
  <dcterms:modified xsi:type="dcterms:W3CDTF">2012-11-21T15:03:01Z</dcterms:modified>
</cp:coreProperties>
</file>