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74" i="1" l="1"/>
  <c r="I574" i="1"/>
  <c r="H232" i="1"/>
  <c r="F497" i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I457" i="1"/>
  <c r="J39" i="1" s="1"/>
  <c r="G38" i="2" s="1"/>
  <c r="C37" i="10"/>
  <c r="C67" i="2"/>
  <c r="B2" i="13"/>
  <c r="F8" i="13"/>
  <c r="G8" i="13"/>
  <c r="L203" i="1"/>
  <c r="L221" i="1"/>
  <c r="C119" i="2" s="1"/>
  <c r="L239" i="1"/>
  <c r="D39" i="13"/>
  <c r="F13" i="13"/>
  <c r="G13" i="13"/>
  <c r="L205" i="1"/>
  <c r="L223" i="1"/>
  <c r="C121" i="2" s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C117" i="2" s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/>
  <c r="K289" i="1"/>
  <c r="K308" i="1"/>
  <c r="K327" i="1"/>
  <c r="G31" i="13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E131" i="2" s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A22" i="12" s="1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/>
  <c r="G58" i="2"/>
  <c r="G60" i="2"/>
  <c r="F2" i="11"/>
  <c r="L612" i="1"/>
  <c r="L611" i="1"/>
  <c r="L610" i="1"/>
  <c r="F662" i="1" s="1"/>
  <c r="C40" i="10"/>
  <c r="F59" i="1"/>
  <c r="G59" i="1"/>
  <c r="H59" i="1"/>
  <c r="E55" i="2" s="1"/>
  <c r="I59" i="1"/>
  <c r="F78" i="1"/>
  <c r="C56" i="2" s="1"/>
  <c r="F93" i="1"/>
  <c r="F110" i="1"/>
  <c r="G110" i="1"/>
  <c r="G111" i="1"/>
  <c r="H78" i="1"/>
  <c r="H93" i="1"/>
  <c r="H110" i="1"/>
  <c r="I110" i="1"/>
  <c r="I111" i="1" s="1"/>
  <c r="J110" i="1"/>
  <c r="J111" i="1" s="1"/>
  <c r="F120" i="1"/>
  <c r="F135" i="1"/>
  <c r="F139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H146" i="1"/>
  <c r="H161" i="1"/>
  <c r="I146" i="1"/>
  <c r="I161" i="1"/>
  <c r="C10" i="10"/>
  <c r="C12" i="10"/>
  <c r="C15" i="10"/>
  <c r="C19" i="10"/>
  <c r="L249" i="1"/>
  <c r="L331" i="1"/>
  <c r="L253" i="1"/>
  <c r="L267" i="1"/>
  <c r="C141" i="2" s="1"/>
  <c r="L268" i="1"/>
  <c r="L348" i="1"/>
  <c r="E141" i="2" s="1"/>
  <c r="L349" i="1"/>
  <c r="I664" i="1"/>
  <c r="I669" i="1"/>
  <c r="L210" i="1"/>
  <c r="G660" i="1"/>
  <c r="F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/>
  <c r="L521" i="1"/>
  <c r="F549" i="1" s="1"/>
  <c r="L522" i="1"/>
  <c r="F550" i="1" s="1"/>
  <c r="K550" i="1" s="1"/>
  <c r="L525" i="1"/>
  <c r="G548" i="1" s="1"/>
  <c r="L526" i="1"/>
  <c r="G549" i="1"/>
  <c r="L527" i="1"/>
  <c r="G550" i="1"/>
  <c r="L530" i="1"/>
  <c r="H548" i="1"/>
  <c r="L531" i="1"/>
  <c r="H549" i="1"/>
  <c r="L532" i="1"/>
  <c r="H550" i="1"/>
  <c r="L535" i="1"/>
  <c r="I548" i="1"/>
  <c r="L536" i="1"/>
  <c r="I549" i="1"/>
  <c r="L537" i="1"/>
  <c r="I550" i="1"/>
  <c r="L540" i="1"/>
  <c r="J548" i="1"/>
  <c r="L541" i="1"/>
  <c r="J549" i="1"/>
  <c r="L542" i="1"/>
  <c r="J550" i="1"/>
  <c r="E130" i="2"/>
  <c r="K269" i="1"/>
  <c r="J269" i="1"/>
  <c r="I269" i="1"/>
  <c r="H269" i="1"/>
  <c r="G269" i="1"/>
  <c r="F269" i="1"/>
  <c r="C130" i="2"/>
  <c r="A1" i="2"/>
  <c r="A2" i="2"/>
  <c r="C8" i="2"/>
  <c r="D8" i="2"/>
  <c r="E8" i="2"/>
  <c r="F8" i="2"/>
  <c r="I438" i="1"/>
  <c r="J9" i="1"/>
  <c r="C9" i="2"/>
  <c r="D9" i="2"/>
  <c r="E9" i="2"/>
  <c r="F9" i="2"/>
  <c r="I439" i="1"/>
  <c r="J10" i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D18" i="2" s="1"/>
  <c r="E17" i="2"/>
  <c r="F17" i="2"/>
  <c r="I444" i="1"/>
  <c r="J18" i="1"/>
  <c r="G17" i="2" s="1"/>
  <c r="C21" i="2"/>
  <c r="D21" i="2"/>
  <c r="E21" i="2"/>
  <c r="F21" i="2"/>
  <c r="I447" i="1"/>
  <c r="C22" i="2"/>
  <c r="D22" i="2"/>
  <c r="E22" i="2"/>
  <c r="F22" i="2"/>
  <c r="I448" i="1"/>
  <c r="J23" i="1" s="1"/>
  <c r="G22" i="2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D55" i="2"/>
  <c r="F55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E76" i="2"/>
  <c r="F76" i="2"/>
  <c r="G76" i="2"/>
  <c r="G77" i="2"/>
  <c r="C78" i="2"/>
  <c r="D78" i="2"/>
  <c r="E78" i="2"/>
  <c r="C79" i="2"/>
  <c r="E79" i="2"/>
  <c r="C84" i="2"/>
  <c r="D84" i="2"/>
  <c r="E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E109" i="2"/>
  <c r="C110" i="2"/>
  <c r="E110" i="2"/>
  <c r="E111" i="2"/>
  <c r="C112" i="2"/>
  <c r="E112" i="2"/>
  <c r="E113" i="2"/>
  <c r="D114" i="2"/>
  <c r="F114" i="2"/>
  <c r="G114" i="2"/>
  <c r="E117" i="2"/>
  <c r="E118" i="2"/>
  <c r="E119" i="2"/>
  <c r="E120" i="2"/>
  <c r="E121" i="2"/>
  <c r="E122" i="2"/>
  <c r="E123" i="2"/>
  <c r="E124" i="2"/>
  <c r="F127" i="2"/>
  <c r="G127" i="2"/>
  <c r="C129" i="2"/>
  <c r="E129" i="2"/>
  <c r="D133" i="2"/>
  <c r="D143" i="2" s="1"/>
  <c r="E133" i="2"/>
  <c r="F133" i="2"/>
  <c r="K418" i="1"/>
  <c r="K426" i="1"/>
  <c r="K432" i="1"/>
  <c r="K433" i="1" s="1"/>
  <c r="G133" i="2" s="1"/>
  <c r="G143" i="2" s="1"/>
  <c r="L262" i="1"/>
  <c r="C134" i="2"/>
  <c r="E134" i="2"/>
  <c r="L263" i="1"/>
  <c r="C135" i="2" s="1"/>
  <c r="L264" i="1"/>
  <c r="C136" i="2" s="1"/>
  <c r="E136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C158" i="2"/>
  <c r="D158" i="2"/>
  <c r="E158" i="2"/>
  <c r="F158" i="2"/>
  <c r="B159" i="2"/>
  <c r="C159" i="2"/>
  <c r="D159" i="2"/>
  <c r="E159" i="2"/>
  <c r="F159" i="2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H50" i="1"/>
  <c r="H51" i="1"/>
  <c r="H618" i="1" s="1"/>
  <c r="I50" i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/>
  <c r="J351" i="1" s="1"/>
  <c r="K336" i="1"/>
  <c r="K337" i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G433" i="1" s="1"/>
  <c r="H426" i="1"/>
  <c r="I426" i="1"/>
  <c r="J426" i="1"/>
  <c r="L428" i="1"/>
  <c r="L429" i="1"/>
  <c r="L430" i="1"/>
  <c r="L431" i="1"/>
  <c r="F432" i="1"/>
  <c r="G432" i="1"/>
  <c r="H432" i="1"/>
  <c r="H433" i="1" s="1"/>
  <c r="I432" i="1"/>
  <c r="J432" i="1"/>
  <c r="F445" i="1"/>
  <c r="G638" i="1" s="1"/>
  <c r="G445" i="1"/>
  <c r="H445" i="1"/>
  <c r="G640" i="1" s="1"/>
  <c r="F451" i="1"/>
  <c r="G451" i="1"/>
  <c r="H451" i="1"/>
  <c r="F459" i="1"/>
  <c r="G459" i="1"/>
  <c r="H459" i="1"/>
  <c r="G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8" i="1"/>
  <c r="K500" i="1"/>
  <c r="K501" i="1"/>
  <c r="K502" i="1"/>
  <c r="F516" i="1"/>
  <c r="G516" i="1"/>
  <c r="H516" i="1"/>
  <c r="I516" i="1"/>
  <c r="F523" i="1"/>
  <c r="F53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/>
  <c r="G648" i="1"/>
  <c r="J648" i="1"/>
  <c r="I597" i="1"/>
  <c r="J597" i="1"/>
  <c r="H650" i="1" s="1"/>
  <c r="J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6" i="1"/>
  <c r="G617" i="1"/>
  <c r="G618" i="1"/>
  <c r="J618" i="1" s="1"/>
  <c r="G619" i="1"/>
  <c r="G621" i="1"/>
  <c r="G623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9" i="1"/>
  <c r="H639" i="1"/>
  <c r="J639" i="1" s="1"/>
  <c r="G642" i="1"/>
  <c r="H642" i="1"/>
  <c r="G643" i="1"/>
  <c r="J643" i="1" s="1"/>
  <c r="H643" i="1"/>
  <c r="H644" i="1"/>
  <c r="H646" i="1"/>
  <c r="H649" i="1"/>
  <c r="G650" i="1"/>
  <c r="G651" i="1"/>
  <c r="H651" i="1"/>
  <c r="G652" i="1"/>
  <c r="H652" i="1"/>
  <c r="J652" i="1"/>
  <c r="G653" i="1"/>
  <c r="H653" i="1"/>
  <c r="J653" i="1" s="1"/>
  <c r="H654" i="1"/>
  <c r="J654" i="1" s="1"/>
  <c r="F191" i="1"/>
  <c r="L255" i="1"/>
  <c r="K256" i="1"/>
  <c r="K270" i="1" s="1"/>
  <c r="I256" i="1"/>
  <c r="I270" i="1" s="1"/>
  <c r="G256" i="1"/>
  <c r="G270" i="1" s="1"/>
  <c r="C18" i="2"/>
  <c r="L327" i="1"/>
  <c r="L350" i="1"/>
  <c r="L289" i="1"/>
  <c r="A31" i="12"/>
  <c r="A40" i="12"/>
  <c r="G8" i="2"/>
  <c r="G161" i="2"/>
  <c r="E49" i="2"/>
  <c r="D18" i="13"/>
  <c r="C18" i="13" s="1"/>
  <c r="D15" i="13"/>
  <c r="C15" i="13" s="1"/>
  <c r="D7" i="13"/>
  <c r="F102" i="2"/>
  <c r="D17" i="13"/>
  <c r="C17" i="13" s="1"/>
  <c r="D6" i="13"/>
  <c r="C6" i="13" s="1"/>
  <c r="E8" i="13"/>
  <c r="C8" i="13" s="1"/>
  <c r="G80" i="2"/>
  <c r="D49" i="2"/>
  <c r="G156" i="2"/>
  <c r="G162" i="2"/>
  <c r="G157" i="2"/>
  <c r="G155" i="2"/>
  <c r="E143" i="2"/>
  <c r="G102" i="2"/>
  <c r="E102" i="2"/>
  <c r="C102" i="2"/>
  <c r="D90" i="2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L426" i="1"/>
  <c r="J256" i="1"/>
  <c r="H111" i="1"/>
  <c r="K604" i="1"/>
  <c r="G647" i="1" s="1"/>
  <c r="J570" i="1"/>
  <c r="K570" i="1"/>
  <c r="L418" i="1"/>
  <c r="H168" i="1"/>
  <c r="H647" i="1"/>
  <c r="J647" i="1" s="1"/>
  <c r="E50" i="2"/>
  <c r="J642" i="1"/>
  <c r="F475" i="1"/>
  <c r="H621" i="1" s="1"/>
  <c r="I475" i="1"/>
  <c r="H624" i="1" s="1"/>
  <c r="G475" i="1"/>
  <c r="H622" i="1" s="1"/>
  <c r="C23" i="10"/>
  <c r="F168" i="1"/>
  <c r="J139" i="1"/>
  <c r="F570" i="1"/>
  <c r="H256" i="1"/>
  <c r="H270" i="1"/>
  <c r="G62" i="2"/>
  <c r="I551" i="1"/>
  <c r="K544" i="1"/>
  <c r="J551" i="1"/>
  <c r="H551" i="1"/>
  <c r="C29" i="10"/>
  <c r="H139" i="1"/>
  <c r="C38" i="10" s="1"/>
  <c r="A13" i="12"/>
  <c r="F22" i="13"/>
  <c r="H25" i="13"/>
  <c r="C25" i="13" s="1"/>
  <c r="J633" i="1"/>
  <c r="H570" i="1"/>
  <c r="L559" i="1"/>
  <c r="J544" i="1"/>
  <c r="L336" i="1"/>
  <c r="H337" i="1"/>
  <c r="H351" i="1" s="1"/>
  <c r="F337" i="1"/>
  <c r="F351" i="1" s="1"/>
  <c r="G191" i="1"/>
  <c r="H191" i="1"/>
  <c r="E127" i="2"/>
  <c r="L308" i="1"/>
  <c r="D5" i="13"/>
  <c r="C49" i="2"/>
  <c r="C50" i="2"/>
  <c r="L569" i="1"/>
  <c r="I570" i="1"/>
  <c r="I544" i="1"/>
  <c r="L564" i="1"/>
  <c r="G544" i="1"/>
  <c r="L544" i="1"/>
  <c r="H544" i="1"/>
  <c r="C22" i="13"/>
  <c r="H33" i="13"/>
  <c r="G551" i="1" l="1"/>
  <c r="K548" i="1"/>
  <c r="F551" i="1"/>
  <c r="K549" i="1"/>
  <c r="K551" i="1" s="1"/>
  <c r="G163" i="2"/>
  <c r="L432" i="1"/>
  <c r="L433" i="1" s="1"/>
  <c r="G637" i="1" s="1"/>
  <c r="J637" i="1" s="1"/>
  <c r="E90" i="2"/>
  <c r="C90" i="2"/>
  <c r="D80" i="2"/>
  <c r="E77" i="2"/>
  <c r="E80" i="2" s="1"/>
  <c r="F61" i="2"/>
  <c r="F62" i="2" s="1"/>
  <c r="D61" i="2"/>
  <c r="D62" i="2" s="1"/>
  <c r="D103" i="2" s="1"/>
  <c r="E18" i="2"/>
  <c r="J270" i="1"/>
  <c r="F659" i="1"/>
  <c r="G168" i="1"/>
  <c r="G192" i="1" s="1"/>
  <c r="G627" i="1" s="1"/>
  <c r="J627" i="1" s="1"/>
  <c r="H192" i="1"/>
  <c r="G628" i="1" s="1"/>
  <c r="J628" i="1" s="1"/>
  <c r="G103" i="2"/>
  <c r="J651" i="1"/>
  <c r="G570" i="1"/>
  <c r="J475" i="1"/>
  <c r="H625" i="1" s="1"/>
  <c r="H475" i="1"/>
  <c r="H623" i="1" s="1"/>
  <c r="H460" i="1"/>
  <c r="H640" i="1" s="1"/>
  <c r="J640" i="1" s="1"/>
  <c r="F460" i="1"/>
  <c r="H638" i="1" s="1"/>
  <c r="L246" i="1"/>
  <c r="H659" i="1" s="1"/>
  <c r="L570" i="1"/>
  <c r="J623" i="1"/>
  <c r="K597" i="1"/>
  <c r="G646" i="1" s="1"/>
  <c r="J646" i="1" s="1"/>
  <c r="J433" i="1"/>
  <c r="I337" i="1"/>
  <c r="I351" i="1" s="1"/>
  <c r="G337" i="1"/>
  <c r="G351" i="1" s="1"/>
  <c r="G51" i="1"/>
  <c r="H617" i="1" s="1"/>
  <c r="J617" i="1" s="1"/>
  <c r="G622" i="1"/>
  <c r="J622" i="1" s="1"/>
  <c r="C77" i="2"/>
  <c r="F77" i="2"/>
  <c r="F80" i="2" s="1"/>
  <c r="C69" i="2"/>
  <c r="E61" i="2"/>
  <c r="E62" i="2" s="1"/>
  <c r="E103" i="2" s="1"/>
  <c r="F49" i="2"/>
  <c r="F31" i="2"/>
  <c r="D31" i="2"/>
  <c r="D50" i="2" s="1"/>
  <c r="G36" i="2"/>
  <c r="C5" i="13"/>
  <c r="J192" i="1"/>
  <c r="D31" i="13"/>
  <c r="C31" i="13" s="1"/>
  <c r="L337" i="1"/>
  <c r="L351" i="1" s="1"/>
  <c r="G632" i="1" s="1"/>
  <c r="J632" i="1" s="1"/>
  <c r="C26" i="10"/>
  <c r="G644" i="1"/>
  <c r="J644" i="1" s="1"/>
  <c r="J621" i="1"/>
  <c r="J616" i="1"/>
  <c r="J638" i="1"/>
  <c r="J635" i="1"/>
  <c r="I51" i="1"/>
  <c r="H619" i="1" s="1"/>
  <c r="J619" i="1" s="1"/>
  <c r="G624" i="1"/>
  <c r="J624" i="1" s="1"/>
  <c r="G159" i="2"/>
  <c r="E114" i="2"/>
  <c r="E144" i="2" s="1"/>
  <c r="F18" i="2"/>
  <c r="F84" i="2"/>
  <c r="F90" i="2" s="1"/>
  <c r="I168" i="1"/>
  <c r="C39" i="10" s="1"/>
  <c r="C61" i="2"/>
  <c r="C55" i="2"/>
  <c r="F111" i="1"/>
  <c r="F192" i="1" s="1"/>
  <c r="G626" i="1" s="1"/>
  <c r="J626" i="1" s="1"/>
  <c r="C35" i="10"/>
  <c r="G662" i="1"/>
  <c r="L613" i="1"/>
  <c r="L400" i="1"/>
  <c r="C138" i="2" s="1"/>
  <c r="L392" i="1"/>
  <c r="L361" i="1"/>
  <c r="F660" i="1"/>
  <c r="F663" i="1" s="1"/>
  <c r="H660" i="1"/>
  <c r="D126" i="2"/>
  <c r="D127" i="2" s="1"/>
  <c r="D144" i="2" s="1"/>
  <c r="F33" i="13"/>
  <c r="C113" i="2"/>
  <c r="G661" i="1"/>
  <c r="I661" i="1" s="1"/>
  <c r="C123" i="2"/>
  <c r="C20" i="10"/>
  <c r="C122" i="2"/>
  <c r="C18" i="10"/>
  <c r="C120" i="2"/>
  <c r="C16" i="10"/>
  <c r="C118" i="2"/>
  <c r="L228" i="1"/>
  <c r="C13" i="10"/>
  <c r="C111" i="2"/>
  <c r="C11" i="10"/>
  <c r="C109" i="2"/>
  <c r="C114" i="2" s="1"/>
  <c r="G33" i="13"/>
  <c r="C124" i="2"/>
  <c r="J45" i="1"/>
  <c r="G44" i="2" s="1"/>
  <c r="I459" i="1"/>
  <c r="B158" i="2"/>
  <c r="G158" i="2" s="1"/>
  <c r="F499" i="1"/>
  <c r="K497" i="1"/>
  <c r="E16" i="13"/>
  <c r="C16" i="13" s="1"/>
  <c r="D12" i="13"/>
  <c r="C12" i="13" s="1"/>
  <c r="G649" i="1"/>
  <c r="J649" i="1" s="1"/>
  <c r="F544" i="1"/>
  <c r="I433" i="1"/>
  <c r="F433" i="1"/>
  <c r="F270" i="1"/>
  <c r="I191" i="1"/>
  <c r="G144" i="2"/>
  <c r="J22" i="1"/>
  <c r="I451" i="1"/>
  <c r="I460" i="1" s="1"/>
  <c r="H641" i="1" s="1"/>
  <c r="J13" i="1"/>
  <c r="I445" i="1"/>
  <c r="G641" i="1" s="1"/>
  <c r="J641" i="1" s="1"/>
  <c r="F129" i="2"/>
  <c r="F143" i="2" s="1"/>
  <c r="F144" i="2" s="1"/>
  <c r="C24" i="10"/>
  <c r="C21" i="10"/>
  <c r="C17" i="10"/>
  <c r="H662" i="1"/>
  <c r="C25" i="10"/>
  <c r="C131" i="2"/>
  <c r="F103" i="2" l="1"/>
  <c r="J50" i="1"/>
  <c r="H663" i="1"/>
  <c r="H666" i="1" s="1"/>
  <c r="I662" i="1"/>
  <c r="H671" i="1"/>
  <c r="K499" i="1"/>
  <c r="B160" i="2"/>
  <c r="G160" i="2" s="1"/>
  <c r="L256" i="1"/>
  <c r="L270" i="1" s="1"/>
  <c r="G631" i="1" s="1"/>
  <c r="J631" i="1" s="1"/>
  <c r="G659" i="1"/>
  <c r="G634" i="1"/>
  <c r="J634" i="1" s="1"/>
  <c r="C27" i="10"/>
  <c r="G630" i="1"/>
  <c r="J630" i="1" s="1"/>
  <c r="G645" i="1"/>
  <c r="E33" i="13"/>
  <c r="D35" i="13" s="1"/>
  <c r="F666" i="1"/>
  <c r="F671" i="1"/>
  <c r="C4" i="10" s="1"/>
  <c r="G625" i="1"/>
  <c r="J625" i="1" s="1"/>
  <c r="C80" i="2"/>
  <c r="J19" i="1"/>
  <c r="G620" i="1" s="1"/>
  <c r="G12" i="2"/>
  <c r="G18" i="2" s="1"/>
  <c r="J32" i="1"/>
  <c r="J51" i="1" s="1"/>
  <c r="H620" i="1" s="1"/>
  <c r="G21" i="2"/>
  <c r="G31" i="2" s="1"/>
  <c r="C127" i="2"/>
  <c r="I660" i="1"/>
  <c r="C137" i="2"/>
  <c r="C140" i="2" s="1"/>
  <c r="L407" i="1"/>
  <c r="C36" i="10"/>
  <c r="C62" i="2"/>
  <c r="C103" i="2" s="1"/>
  <c r="I192" i="1"/>
  <c r="G629" i="1" s="1"/>
  <c r="J629" i="1" s="1"/>
  <c r="C28" i="10"/>
  <c r="D33" i="13"/>
  <c r="D36" i="13" s="1"/>
  <c r="G49" i="2"/>
  <c r="G50" i="2" s="1"/>
  <c r="F50" i="2"/>
  <c r="D22" i="10" l="1"/>
  <c r="D15" i="10"/>
  <c r="C30" i="10"/>
  <c r="D19" i="10"/>
  <c r="D12" i="10"/>
  <c r="D23" i="10"/>
  <c r="D10" i="10"/>
  <c r="G636" i="1"/>
  <c r="J636" i="1" s="1"/>
  <c r="H645" i="1"/>
  <c r="D13" i="10"/>
  <c r="D21" i="10"/>
  <c r="J645" i="1"/>
  <c r="D26" i="10"/>
  <c r="D27" i="10"/>
  <c r="D20" i="10"/>
  <c r="D16" i="10"/>
  <c r="D24" i="10"/>
  <c r="D25" i="10"/>
  <c r="C41" i="10"/>
  <c r="D36" i="10" s="1"/>
  <c r="D11" i="10"/>
  <c r="J620" i="1"/>
  <c r="H655" i="1"/>
  <c r="C143" i="2"/>
  <c r="C144" i="2" s="1"/>
  <c r="D18" i="10"/>
  <c r="G663" i="1"/>
  <c r="I659" i="1"/>
  <c r="I663" i="1" s="1"/>
  <c r="D17" i="10"/>
  <c r="I671" i="1" l="1"/>
  <c r="C7" i="10" s="1"/>
  <c r="I666" i="1"/>
  <c r="D28" i="10"/>
  <c r="G671" i="1"/>
  <c r="G666" i="1"/>
  <c r="D37" i="10"/>
  <c r="D40" i="10"/>
  <c r="D38" i="10"/>
  <c r="D39" i="10"/>
  <c r="D35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<sst xmlns="http://schemas.openxmlformats.org/spreadsheetml/2006/main" count="3945" uniqueCount="912">
  <si>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</si>
  <si>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</si>
  <si>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</si>
  <si>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</si>
  <si>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</si>
  <si>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</si>
  <si>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</si>
  <si>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</si>
  <si>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</si>
  <si>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</si>
  <si>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</si>
  <si>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</si>
  <si>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</si>
  <si>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</si>
  <si>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</si>
  <si>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</si>
  <si>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</si>
  <si>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</si>
  <si>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</si>
  <si>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</si>
  <si>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</si>
  <si>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</si>
  <si>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</si>
  <si>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</si>
  <si>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</si>
  <si>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</si>
  <si>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</si>
  <si>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</si>
  <si>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</si>
  <si>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</si>
  <si>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</si>
  <si>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</si>
  <si>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</si>
  <si>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</si>
  <si>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</si>
  <si>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</si>
  <si>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</si>
  <si>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</si>
  <si>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</si>
  <si>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</si>
  <si>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</si>
  <si>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</si>
  <si>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</si>
  <si>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</si>
  <si>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</si>
  <si>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</si>
  <si>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</si>
  <si>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</si>
  <si>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</si>
  <si>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</si>
  <si>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</si>
  <si>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</si>
  <si>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</si>
  <si>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</si>
  <si>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</si>
  <si>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</si>
  <si>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</si>
  <si>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</si>
  <si>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</si>
  <si>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</si>
  <si>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</si>
  <si>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</si>
  <si>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</si>
  <si>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</si>
  <si>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</si>
  <si>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</si>
  <si>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</si>
  <si>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</si>
  <si>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</si>
  <si>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</si>
  <si>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</si>
  <si>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</si>
  <si>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</si>
  <si>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</si>
  <si>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</si>
  <si>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</si>
  <si>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</si>
  <si>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</si>
  <si>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</si>
  <si>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</si>
  <si>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</si>
  <si>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</si>
  <si>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</si>
  <si>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</si>
  <si>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</si>
  <si>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</si>
  <si>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</si>
  <si>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</si>
  <si>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</si>
  <si>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</si>
  <si>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</si>
  <si>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</si>
  <si>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</si>
  <si>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</si>
  <si>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</si>
  <si>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</si>
  <si>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</si>
  <si>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</si>
  <si>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</si>
  <si>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</si>
  <si>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</si>
  <si>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</si>
  <si>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</si>
  <si>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</si>
  <si>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</si>
  <si>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</si>
  <si>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</si>
  <si>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</si>
  <si>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</si>
  <si>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</si>
  <si>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</si>
  <si>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</si>
  <si>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</si>
  <si>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</si>
  <si>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</si>
  <si>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</si>
  <si>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</si>
  <si>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</si>
  <si>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</si>
  <si>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</si>
  <si>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</si>
  <si>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</si>
  <si>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</si>
  <si>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</si>
  <si>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</si>
  <si>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</si>
  <si>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</si>
  <si>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</si>
  <si>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</si>
  <si>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</si>
  <si>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</si>
  <si>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</si>
  <si>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</si>
  <si>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</si>
  <si>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</si>
  <si>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</si>
  <si>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</si>
  <si>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</si>
  <si>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</si>
  <si>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</si>
  <si>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</si>
  <si>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</si>
  <si>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</si>
  <si>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</si>
  <si>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</si>
  <si>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</si>
  <si>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</si>
  <si>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</si>
  <si>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</si>
  <si>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</si>
  <si>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</si>
  <si>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</si>
  <si>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</si>
  <si>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</si>
  <si>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</si>
  <si>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</si>
  <si>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</si>
  <si>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</si>
  <si>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</si>
  <si>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</si>
  <si>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</si>
  <si>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</si>
  <si>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</si>
  <si>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</si>
  <si>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</si>
  <si>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</si>
  <si>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</si>
  <si>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</si>
  <si>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</si>
  <si>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</si>
  <si>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</si>
  <si>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</si>
  <si>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</si>
  <si>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</si>
  <si>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</si>
  <si>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</si>
  <si>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</si>
  <si>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</si>
  <si>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</si>
  <si>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</si>
  <si>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</si>
  <si>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</si>
  <si>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</si>
  <si>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</si>
  <si>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</si>
  <si>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</si>
  <si>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</si>
  <si>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</si>
  <si>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</si>
  <si>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</si>
  <si>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</si>
  <si>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</si>
  <si>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</si>
  <si>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</si>
  <si>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</si>
  <si>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</si>
  <si>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</si>
  <si>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</si>
  <si>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</si>
  <si>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</si>
  <si>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</si>
  <si>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</si>
  <si>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</si>
  <si>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</si>
  <si>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</si>
  <si>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</si>
  <si>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</si>
  <si>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</si>
  <si>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</si>
  <si>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</si>
  <si>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</si>
  <si>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</si>
  <si>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</si>
  <si>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</si>
  <si>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</si>
  <si>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</si>
  <si>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</si>
  <si>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</si>
  <si>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</si>
  <si>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</si>
  <si>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</si>
  <si>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</si>
  <si>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</si>
  <si>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</si>
  <si>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</si>
  <si>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</si>
  <si>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</si>
  <si>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</si>
  <si>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</si>
  <si>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</si>
  <si>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</si>
  <si>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</si>
  <si>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</si>
  <si>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</si>
  <si>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</si>
  <si>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</si>
  <si>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</si>
  <si>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</si>
  <si>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</si>
  <si>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</si>
  <si>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</si>
  <si>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</si>
  <si>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</si>
  <si>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</si>
  <si>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</si>
  <si>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</si>
  <si>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</si>
  <si>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</si>
  <si>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</si>
  <si>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</si>
  <si>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</si>
  <si>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</si>
  <si>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</si>
  <si>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</si>
  <si>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</si>
  <si>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</si>
  <si>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</si>
  <si>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</si>
  <si>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</si>
  <si>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</si>
  <si>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</si>
  <si>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</si>
  <si>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</si>
  <si>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</si>
  <si>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</si>
  <si>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</si>
  <si>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</si>
  <si>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</si>
  <si>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</si>
  <si>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</si>
  <si>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</si>
  <si>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</si>
  <si>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</si>
  <si>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</si>
  <si>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</si>
  <si>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</si>
  <si>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</si>
  <si>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</si>
  <si>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</si>
  <si>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</si>
  <si>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</si>
  <si>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</si>
  <si>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</si>
  <si>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</si>
  <si>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</si>
  <si>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</si>
  <si>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</si>
  <si>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</si>
  <si>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</si>
  <si>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</si>
  <si>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</si>
  <si>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</si>
  <si>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</si>
  <si>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</si>
  <si>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</si>
  <si>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</si>
  <si>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</si>
  <si>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</si>
  <si>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</si>
  <si>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</si>
  <si>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</si>
  <si>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</si>
  <si>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</si>
  <si>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</si>
  <si>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</si>
  <si>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</si>
  <si>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</si>
  <si>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</si>
  <si>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</si>
  <si>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</si>
  <si>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</si>
  <si>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</si>
  <si>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</si>
  <si>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</si>
  <si>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</si>
  <si>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</si>
  <si>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</si>
  <si>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</si>
  <si>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</si>
  <si>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</si>
  <si>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</si>
  <si>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</si>
  <si>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</si>
  <si>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</si>
  <si>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</si>
  <si>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</si>
  <si>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</si>
  <si>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</si>
  <si>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</si>
  <si>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</si>
  <si>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</si>
  <si>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</si>
  <si>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</si>
  <si>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</si>
  <si>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</si>
  <si>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</si>
  <si>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</si>
  <si>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</si>
  <si>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</si>
  <si>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</si>
  <si>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</si>
  <si>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</si>
  <si>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</si>
  <si>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</si>
  <si>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</si>
  <si>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</si>
  <si>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</si>
  <si>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</si>
  <si>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</si>
  <si>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</si>
  <si>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</si>
  <si>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</si>
  <si>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</si>
  <si>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</si>
  <si>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</si>
  <si>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</si>
  <si>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</si>
  <si>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</si>
  <si>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</si>
  <si>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</si>
  <si>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</si>
  <si>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</si>
  <si>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</si>
  <si>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</si>
  <si>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</si>
  <si>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</si>
  <si>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</si>
  <si>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</si>
  <si>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</si>
  <si>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</si>
  <si>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</si>
  <si>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</si>
  <si>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</si>
  <si>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</si>
  <si>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</si>
  <si>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</si>
  <si>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</si>
  <si>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</si>
  <si>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</si>
  <si>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</si>
  <si>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</si>
  <si>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</si>
  <si>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</si>
  <si>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</si>
  <si>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</si>
  <si>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</si>
  <si>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</si>
  <si>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</si>
  <si>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</si>
  <si>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</si>
  <si>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</si>
  <si>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</si>
  <si>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</si>
  <si>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</si>
  <si>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</si>
  <si>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</si>
  <si>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</si>
  <si>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</si>
  <si>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</si>
  <si>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</si>
  <si>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</si>
  <si>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</si>
  <si>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</si>
  <si>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</si>
  <si>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</si>
  <si>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</si>
  <si>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</si>
  <si>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</si>
  <si>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</si>
  <si>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</si>
  <si>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</si>
  <si>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</si>
  <si>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</si>
  <si>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</si>
  <si>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</si>
  <si>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</si>
  <si>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</si>
  <si>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</si>
  <si>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</si>
  <si>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</si>
  <si>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</si>
  <si>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</si>
  <si>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</si>
  <si>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</si>
  <si>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</si>
  <si>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</si>
  <si>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</si>
  <si>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</si>
  <si>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</si>
  <si>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</si>
  <si>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</si>
  <si>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</si>
  <si>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</si>
  <si>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</si>
  <si>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</si>
  <si>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</si>
  <si>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</si>
  <si>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</si>
  <si>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</si>
  <si>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</si>
  <si>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</si>
  <si>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</si>
  <si>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</si>
  <si>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</si>
  <si>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</si>
  <si>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</si>
  <si>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</si>
  <si>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</si>
  <si>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</si>
  <si>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</si>
  <si>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</si>
  <si>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</si>
  <si>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</si>
  <si>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</si>
  <si>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</si>
  <si>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</si>
  <si>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</si>
  <si>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</si>
  <si>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</si>
  <si>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</si>
  <si>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</si>
  <si>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</si>
  <si>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</si>
  <si>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</si>
  <si>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</si>
  <si>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</si>
  <si>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</si>
  <si>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</si>
  <si>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</si>
  <si>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</si>
  <si>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</si>
  <si>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</si>
  <si>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</si>
  <si>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</si>
  <si>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</si>
  <si>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</si>
  <si>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</si>
  <si>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</si>
  <si>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</si>
  <si>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</si>
  <si>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</si>
  <si>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</si>
  <si>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</si>
  <si>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</si>
  <si>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</si>
  <si>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</si>
  <si>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</si>
  <si>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</si>
  <si>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</si>
  <si>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</si>
  <si>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</si>
  <si>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</si>
  <si>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</si>
  <si>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</si>
  <si>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</si>
  <si>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</si>
  <si>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</si>
  <si>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</si>
  <si>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</si>
  <si>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</si>
  <si>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</si>
  <si>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</si>
  <si>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</si>
  <si>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</si>
  <si>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</si>
  <si>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</si>
  <si>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</si>
  <si>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</si>
  <si>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</si>
  <si>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</si>
  <si>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</si>
  <si>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</si>
  <si>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</si>
  <si>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</si>
  <si>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</si>
  <si>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</si>
  <si>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</si>
  <si>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</si>
  <si>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</si>
  <si>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</si>
  <si>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</si>
  <si>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</si>
  <si>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</si>
  <si>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</si>
  <si>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</si>
  <si>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</si>
  <si>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</si>
  <si>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</si>
  <si>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</si>
  <si>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</si>
  <si>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</si>
  <si>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</si>
  <si>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</si>
  <si>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</si>
  <si>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</si>
  <si>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</si>
  <si>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</si>
  <si>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</si>
  <si>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</si>
  <si>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</si>
  <si>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</si>
  <si>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</si>
  <si>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</si>
  <si>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</si>
  <si>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</si>
  <si>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</si>
  <si>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</si>
  <si>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</si>
  <si>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</si>
  <si>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</si>
  <si>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</si>
  <si>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</si>
  <si>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</si>
  <si>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</si>
  <si>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</si>
  <si>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</si>
  <si>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</si>
  <si>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</si>
  <si>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</si>
  <si>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</si>
  <si>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</si>
  <si>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</si>
  <si>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</si>
  <si>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</si>
  <si>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</si>
  <si>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</si>
  <si>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</si>
  <si>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</si>
  <si>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</si>
  <si>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</si>
  <si>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</si>
  <si>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</si>
  <si>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</si>
  <si>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</si>
  <si>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</si>
  <si>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</si>
  <si>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</si>
  <si>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</si>
  <si>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</si>
  <si>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</si>
  <si>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</si>
  <si>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</si>
  <si>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</si>
  <si>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</si>
  <si>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</si>
  <si>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</si>
  <si>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</si>
  <si>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</si>
  <si>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</si>
  <si>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</si>
  <si>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</si>
  <si>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</si>
  <si>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</si>
  <si>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</si>
  <si>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</si>
  <si>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</si>
  <si>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</si>
  <si>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</si>
  <si>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</si>
  <si>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</si>
  <si>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</si>
  <si>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</si>
  <si>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</si>
  <si>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</si>
  <si>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</si>
  <si>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</si>
  <si>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</si>
  <si>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</si>
  <si>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</si>
  <si>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</si>
  <si>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</si>
  <si>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</si>
  <si>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</si>
  <si>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</si>
  <si>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</si>
  <si>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</si>
  <si>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</si>
  <si>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</si>
  <si>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</si>
  <si>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</si>
  <si>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</si>
  <si>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</si>
  <si>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</si>
  <si>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</si>
  <si>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</si>
  <si>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</si>
  <si>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</si>
  <si>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</si>
  <si>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</si>
  <si>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</si>
  <si>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</si>
  <si>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</si>
  <si>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</si>
  <si>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</si>
  <si>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</si>
  <si>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</si>
  <si>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</si>
  <si>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</si>
  <si>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</si>
  <si>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</si>
  <si>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</si>
  <si>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</si>
  <si>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</si>
  <si>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</si>
  <si>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</si>
  <si>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</si>
  <si>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</si>
  <si>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</si>
  <si>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</si>
  <si>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</si>
  <si>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</si>
  <si>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</si>
  <si>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</si>
  <si>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</si>
  <si>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</si>
  <si>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</si>
  <si>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</si>
  <si>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</si>
  <si>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</si>
  <si>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</si>
  <si>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</si>
  <si>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</si>
  <si>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</si>
  <si>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</si>
  <si>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</si>
  <si>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</si>
  <si>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</si>
  <si>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</si>
  <si>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</si>
  <si>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</si>
  <si>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</si>
  <si>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</si>
  <si>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</si>
  <si>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</si>
  <si>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</si>
  <si>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</si>
  <si>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</si>
  <si>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</si>
  <si>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</si>
  <si>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</si>
  <si>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</si>
  <si>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</si>
  <si>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</si>
  <si>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</si>
  <si>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</si>
  <si>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</si>
  <si>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</si>
  <si>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</si>
  <si>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</si>
  <si>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</si>
  <si>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</si>
  <si>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</si>
  <si>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</si>
  <si>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</si>
  <si>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</si>
  <si>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</si>
  <si>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</si>
  <si>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</si>
  <si>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</si>
  <si>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</si>
  <si>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</si>
  <si>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</si>
  <si>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</si>
  <si>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</si>
  <si>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</si>
  <si>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</si>
  <si>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</si>
  <si>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</si>
  <si>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</si>
  <si>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</si>
  <si>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</si>
  <si>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</si>
  <si>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</si>
  <si>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</si>
  <si>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</si>
  <si>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</si>
  <si>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</si>
  <si>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</si>
  <si>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</si>
  <si>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</si>
  <si>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</si>
  <si>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</si>
  <si>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</si>
  <si>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</si>
  <si>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</si>
  <si>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</si>
  <si>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</si>
  <si>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</si>
  <si>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</si>
  <si>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</si>
  <si>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</si>
  <si>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</si>
  <si>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</si>
  <si>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</si>
  <si>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</si>
  <si>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</si>
  <si>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</si>
  <si>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</si>
  <si>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</si>
  <si>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</si>
  <si>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</si>
  <si>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</si>
  <si>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</si>
  <si>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</si>
  <si>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</si>
  <si>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</si>
  <si>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</si>
  <si>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</si>
  <si>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</si>
  <si>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</si>
  <si>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</si>
  <si>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</si>
  <si>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</si>
  <si>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</si>
  <si>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</si>
  <si>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</si>
  <si>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</si>
  <si>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</si>
  <si>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</si>
  <si>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</si>
  <si>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</si>
  <si>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</si>
  <si>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</si>
  <si>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</si>
  <si>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</si>
  <si>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</si>
  <si>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</si>
  <si>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</si>
  <si>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</si>
  <si>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</si>
  <si>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</si>
  <si>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</si>
  <si>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</si>
  <si>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</si>
  <si>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</si>
  <si>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</si>
  <si>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</si>
  <si>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</si>
  <si>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</si>
  <si>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</si>
  <si>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</si>
  <si>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</si>
  <si>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</si>
  <si>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</si>
  <si>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</si>
  <si>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</si>
  <si>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</si>
  <si>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</si>
  <si>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</si>
  <si>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</si>
  <si>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</si>
  <si>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</si>
  <si>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</si>
  <si>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</si>
  <si>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</si>
  <si>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</si>
  <si>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</si>
  <si>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</si>
  <si>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</si>
  <si>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</si>
  <si>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</si>
  <si>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</si>
  <si>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</si>
  <si>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</si>
  <si>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</si>
  <si>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</si>
  <si>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</si>
  <si>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</si>
  <si>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</si>
  <si>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</si>
  <si>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</si>
  <si>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</si>
  <si>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</si>
  <si>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</si>
  <si>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</si>
  <si>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</si>
  <si>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</si>
  <si>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</si>
  <si>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</si>
  <si>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</si>
  <si>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</si>
  <si>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</si>
  <si>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</si>
  <si>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</si>
  <si>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</si>
  <si>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</si>
  <si>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</si>
  <si>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</si>
  <si>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</si>
  <si>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</si>
  <si>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</si>
  <si>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</si>
  <si>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</si>
  <si>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</si>
  <si>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</si>
  <si>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</si>
  <si>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</si>
  <si>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</si>
  <si>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</si>
  <si>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</si>
  <si>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</si>
  <si>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</si>
  <si>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</si>
  <si>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</si>
  <si>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</si>
  <si>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</si>
  <si>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</si>
  <si>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</si>
  <si>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</si>
  <si>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</si>
  <si>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</si>
  <si>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</si>
  <si>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</si>
  <si>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</si>
  <si>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</si>
  <si>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</si>
  <si>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</si>
  <si>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</si>
  <si>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</si>
  <si>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</si>
  <si>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</si>
  <si>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</si>
  <si>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</si>
  <si>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</si>
  <si>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</si>
  <si>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</si>
  <si>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</si>
  <si>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</si>
  <si>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</si>
  <si>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</si>
  <si>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</si>
  <si>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</si>
  <si>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</si>
  <si>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</si>
  <si>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</si>
  <si>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</si>
  <si>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</si>
  <si>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</si>
  <si>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</si>
  <si>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</si>
  <si>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</si>
  <si>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</si>
  <si>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</si>
  <si>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</si>
  <si>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</si>
  <si>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</si>
  <si>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</si>
  <si>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</si>
  <si>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</si>
  <si>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</si>
  <si>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</si>
  <si>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</si>
  <si>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</si>
  <si>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</si>
  <si>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</si>
  <si>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</si>
  <si>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</si>
  <si>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</si>
  <si>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</si>
  <si>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</si>
  <si>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</si>
  <si>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</si>
  <si>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</si>
  <si>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</si>
  <si>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</si>
  <si>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</si>
  <si>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</si>
  <si>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</si>
  <si>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</si>
  <si>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Mason School District</t>
  </si>
  <si>
    <t>07/09</t>
  </si>
  <si>
    <t>08/29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</si>
</sst>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526" sqref="H526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345</v>
      </c>
      <c r="C2" s="21">
        <v>345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102226</v>
      </c>
      <c r="G9" s="18"/>
      <c r="H9" s="18"/>
      <c r="I9" s="18">
        <v>955</v>
      </c>
      <c r="J9" s="67">
        <f>SUM(I438)</f>
        <v>55256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117342</v>
      </c>
      <c r="G12" s="18">
        <v>61140</v>
      </c>
      <c r="H12" s="18">
        <v>26060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1410</v>
      </c>
      <c r="H13" s="18">
        <v>18057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3935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223503</v>
      </c>
      <c r="G19" s="41">
        <f>SUM(G9:G18)</f>
        <v>62550</v>
      </c>
      <c r="H19" s="41">
        <f>SUM(H9:H18)</f>
        <v>44117</v>
      </c>
      <c r="I19" s="41">
        <f>SUM(I9:I18)</f>
        <v>955</v>
      </c>
      <c r="J19" s="41">
        <f>SUM(J9:J18)</f>
        <v>55256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87199</v>
      </c>
      <c r="G22" s="18">
        <v>62550</v>
      </c>
      <c r="H22" s="18">
        <v>44117</v>
      </c>
      <c r="I22" s="18">
        <v>10676</v>
      </c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10948</v>
      </c>
      <c r="G24" s="18"/>
      <c r="H24" s="18"/>
      <c r="I24" s="18">
        <v>22226</v>
      </c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19401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130000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247548</v>
      </c>
      <c r="G32" s="41">
        <f>SUM(G22:G31)</f>
        <v>62550</v>
      </c>
      <c r="H32" s="41">
        <f>SUM(H22:H31)</f>
        <v>44117</v>
      </c>
      <c r="I32" s="41">
        <f>SUM(I22:I31)</f>
        <v>32902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>
        <v>0</v>
      </c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>
        <v>-31947</v>
      </c>
      <c r="J47" s="13">
        <f>SUM(I458)</f>
        <v>55256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-24045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-24045</v>
      </c>
      <c r="G50" s="41">
        <f>SUM(G35:G49)</f>
        <v>0</v>
      </c>
      <c r="H50" s="41">
        <f>SUM(H35:H49)</f>
        <v>0</v>
      </c>
      <c r="I50" s="41">
        <f>SUM(I35:I49)</f>
        <v>-31947</v>
      </c>
      <c r="J50" s="41">
        <f>SUM(J35:J49)</f>
        <v>55256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223503</v>
      </c>
      <c r="G51" s="41">
        <f>G50+G32</f>
        <v>62550</v>
      </c>
      <c r="H51" s="41">
        <f>H50+H32</f>
        <v>44117</v>
      </c>
      <c r="I51" s="41">
        <f>I50+I32</f>
        <v>955</v>
      </c>
      <c r="J51" s="41">
        <f>J50+J32</f>
        <v>55256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2088975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2088975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14010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14010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182</v>
      </c>
      <c r="G95" s="18"/>
      <c r="H95" s="18"/>
      <c r="I95" s="18"/>
      <c r="J95" s="18">
        <v>164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26888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4365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4547</v>
      </c>
      <c r="G110" s="41">
        <f>SUM(G95:G109)</f>
        <v>26888</v>
      </c>
      <c r="H110" s="41">
        <f>SUM(H95:H109)</f>
        <v>0</v>
      </c>
      <c r="I110" s="41">
        <f>SUM(I95:I109)</f>
        <v>0</v>
      </c>
      <c r="J110" s="41">
        <f>SUM(J95:J109)</f>
        <v>164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2107532</v>
      </c>
      <c r="G111" s="41">
        <f>G59+G110</f>
        <v>26888</v>
      </c>
      <c r="H111" s="41">
        <f>H59+H78+H93+H110</f>
        <v>0</v>
      </c>
      <c r="I111" s="41">
        <f>I59+I110</f>
        <v>0</v>
      </c>
      <c r="J111" s="41">
        <f>J59+J110</f>
        <v>164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272733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397327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236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670296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66000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18975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14002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384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98977</v>
      </c>
      <c r="G135" s="41">
        <f>SUM(G122:G134)</f>
        <v>384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769273</v>
      </c>
      <c r="G139" s="41">
        <f>G120+SUM(G135:G136)</f>
        <v>384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1224</v>
      </c>
      <c r="G144" s="18"/>
      <c r="H144" s="18">
        <v>5700</v>
      </c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1224</v>
      </c>
      <c r="G146" s="41">
        <f>SUM(G144:G145)</f>
        <v>0</v>
      </c>
      <c r="H146" s="41">
        <f>SUM(H144:H145)</f>
        <v>5700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10340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5542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12422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11824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13922</v>
      </c>
      <c r="G160" s="18"/>
      <c r="H160" s="18">
        <v>9745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13922</v>
      </c>
      <c r="G161" s="41">
        <f>SUM(G149:G160)</f>
        <v>12422</v>
      </c>
      <c r="H161" s="41">
        <f>SUM(H149:H160)</f>
        <v>37451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15146</v>
      </c>
      <c r="G168" s="41">
        <f>G146+G161+SUM(G162:G167)</f>
        <v>12422</v>
      </c>
      <c r="H168" s="41">
        <f>H146+H161+SUM(H162:H167)</f>
        <v>43151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23795</v>
      </c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23795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23795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2891951</v>
      </c>
      <c r="G192" s="47">
        <f>G111+G139+G168+G191</f>
        <v>63489</v>
      </c>
      <c r="H192" s="47">
        <f>H111+H139+H168+H191</f>
        <v>43151</v>
      </c>
      <c r="I192" s="47">
        <f>I111+I139+I168+I191</f>
        <v>0</v>
      </c>
      <c r="J192" s="47">
        <f>J111+J139+J191</f>
        <v>164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334818</v>
      </c>
      <c r="G196" s="18">
        <v>159232</v>
      </c>
      <c r="H196" s="18">
        <v>967</v>
      </c>
      <c r="I196" s="18">
        <v>18736</v>
      </c>
      <c r="J196" s="18">
        <v>4672</v>
      </c>
      <c r="K196" s="18">
        <v>447</v>
      </c>
      <c r="L196" s="19">
        <f>SUM(F196:K196)</f>
        <v>518872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144729</v>
      </c>
      <c r="G197" s="18">
        <v>50372</v>
      </c>
      <c r="H197" s="18">
        <v>40446</v>
      </c>
      <c r="I197" s="18">
        <v>510</v>
      </c>
      <c r="J197" s="18"/>
      <c r="K197" s="18">
        <v>169</v>
      </c>
      <c r="L197" s="19">
        <f>SUM(F197:K197)</f>
        <v>236226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53808</v>
      </c>
      <c r="G201" s="18">
        <v>11895</v>
      </c>
      <c r="H201" s="18">
        <v>80368</v>
      </c>
      <c r="I201" s="18">
        <v>373</v>
      </c>
      <c r="J201" s="18"/>
      <c r="K201" s="18"/>
      <c r="L201" s="19">
        <f t="shared" ref="L201:L207" si="0">SUM(F201:K201)</f>
        <v>146444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0</v>
      </c>
      <c r="G202" s="18">
        <v>9908</v>
      </c>
      <c r="H202" s="18"/>
      <c r="I202" s="18"/>
      <c r="J202" s="18"/>
      <c r="K202" s="18"/>
      <c r="L202" s="19">
        <f t="shared" si="0"/>
        <v>9908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77250</v>
      </c>
      <c r="G203" s="18">
        <v>6225</v>
      </c>
      <c r="H203" s="18">
        <v>76533</v>
      </c>
      <c r="I203" s="18">
        <v>296</v>
      </c>
      <c r="J203" s="18">
        <v>457</v>
      </c>
      <c r="K203" s="18">
        <v>1043</v>
      </c>
      <c r="L203" s="19">
        <f t="shared" si="0"/>
        <v>161804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66842</v>
      </c>
      <c r="G204" s="18">
        <v>39401</v>
      </c>
      <c r="H204" s="18">
        <v>7751</v>
      </c>
      <c r="I204" s="18">
        <v>3695</v>
      </c>
      <c r="J204" s="18"/>
      <c r="K204" s="18">
        <v>1252</v>
      </c>
      <c r="L204" s="19">
        <f t="shared" si="0"/>
        <v>118941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37595</v>
      </c>
      <c r="G206" s="18">
        <v>25332</v>
      </c>
      <c r="H206" s="18">
        <v>12189</v>
      </c>
      <c r="I206" s="18">
        <v>34538</v>
      </c>
      <c r="J206" s="18">
        <v>90</v>
      </c>
      <c r="K206" s="18"/>
      <c r="L206" s="19">
        <f t="shared" si="0"/>
        <v>109744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77442</v>
      </c>
      <c r="I207" s="18"/>
      <c r="J207" s="18"/>
      <c r="K207" s="18"/>
      <c r="L207" s="19">
        <f t="shared" si="0"/>
        <v>77442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715042</v>
      </c>
      <c r="G210" s="41">
        <f t="shared" si="1"/>
        <v>302365</v>
      </c>
      <c r="H210" s="41">
        <f t="shared" si="1"/>
        <v>295696</v>
      </c>
      <c r="I210" s="41">
        <f t="shared" si="1"/>
        <v>58148</v>
      </c>
      <c r="J210" s="41">
        <f t="shared" si="1"/>
        <v>5219</v>
      </c>
      <c r="K210" s="41">
        <f t="shared" si="1"/>
        <v>2911</v>
      </c>
      <c r="L210" s="41">
        <f t="shared" si="1"/>
        <v>1379381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317458</v>
      </c>
      <c r="I214" s="18"/>
      <c r="J214" s="18"/>
      <c r="K214" s="18"/>
      <c r="L214" s="19">
        <f>SUM(F214:K214)</f>
        <v>317458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v>55628</v>
      </c>
      <c r="I215" s="18"/>
      <c r="J215" s="18"/>
      <c r="K215" s="18"/>
      <c r="L215" s="19">
        <f>SUM(F215:K215)</f>
        <v>55628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16742</v>
      </c>
      <c r="I225" s="18"/>
      <c r="J225" s="18"/>
      <c r="K225" s="18"/>
      <c r="L225" s="19">
        <f t="shared" si="2"/>
        <v>16742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389828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389828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444278+53236</f>
        <v>497514</v>
      </c>
      <c r="I232" s="18"/>
      <c r="J232" s="18"/>
      <c r="K232" s="18"/>
      <c r="L232" s="19">
        <f>SUM(F232:K232)</f>
        <v>497514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77879</v>
      </c>
      <c r="I233" s="18"/>
      <c r="J233" s="18"/>
      <c r="K233" s="18"/>
      <c r="L233" s="19">
        <f>SUM(F233:K233)</f>
        <v>77879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23439</v>
      </c>
      <c r="I243" s="18"/>
      <c r="J243" s="18"/>
      <c r="K243" s="18"/>
      <c r="L243" s="19">
        <f t="shared" si="4"/>
        <v>23439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598832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598832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715042</v>
      </c>
      <c r="G256" s="41">
        <f t="shared" si="8"/>
        <v>302365</v>
      </c>
      <c r="H256" s="41">
        <f t="shared" si="8"/>
        <v>1284356</v>
      </c>
      <c r="I256" s="41">
        <f t="shared" si="8"/>
        <v>58148</v>
      </c>
      <c r="J256" s="41">
        <f t="shared" si="8"/>
        <v>5219</v>
      </c>
      <c r="K256" s="41">
        <f t="shared" si="8"/>
        <v>2911</v>
      </c>
      <c r="L256" s="41">
        <f t="shared" si="8"/>
        <v>2368041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255000</v>
      </c>
      <c r="L259" s="19">
        <f>SUM(F259:K259)</f>
        <v>255000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188739</v>
      </c>
      <c r="L260" s="19">
        <f>SUM(F260:K260)</f>
        <v>188739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23795</v>
      </c>
      <c r="L262" s="19">
        <f>SUM(F262:K262)</f>
        <v>23795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467534</v>
      </c>
      <c r="L269" s="41">
        <f t="shared" si="9"/>
        <v>467534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715042</v>
      </c>
      <c r="G270" s="42">
        <f t="shared" si="11"/>
        <v>302365</v>
      </c>
      <c r="H270" s="42">
        <f t="shared" si="11"/>
        <v>1284356</v>
      </c>
      <c r="I270" s="42">
        <f t="shared" si="11"/>
        <v>58148</v>
      </c>
      <c r="J270" s="42">
        <f t="shared" si="11"/>
        <v>5219</v>
      </c>
      <c r="K270" s="42">
        <f t="shared" si="11"/>
        <v>470445</v>
      </c>
      <c r="L270" s="42">
        <f t="shared" si="11"/>
        <v>2835575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8887</v>
      </c>
      <c r="G275" s="18">
        <v>906</v>
      </c>
      <c r="H275" s="18"/>
      <c r="I275" s="18"/>
      <c r="J275" s="18"/>
      <c r="K275" s="18">
        <v>546</v>
      </c>
      <c r="L275" s="19">
        <f>SUM(F275:K275)</f>
        <v>10339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>
        <v>16617</v>
      </c>
      <c r="I276" s="18">
        <v>5034</v>
      </c>
      <c r="J276" s="18"/>
      <c r="K276" s="18">
        <v>708</v>
      </c>
      <c r="L276" s="19">
        <f>SUM(F276:K276)</f>
        <v>22359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5542</v>
      </c>
      <c r="G281" s="18">
        <v>4911</v>
      </c>
      <c r="H281" s="18"/>
      <c r="I281" s="18"/>
      <c r="J281" s="18"/>
      <c r="K281" s="18"/>
      <c r="L281" s="19">
        <f t="shared" si="12"/>
        <v>10453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14429</v>
      </c>
      <c r="G289" s="42">
        <f t="shared" si="13"/>
        <v>5817</v>
      </c>
      <c r="H289" s="42">
        <f t="shared" si="13"/>
        <v>16617</v>
      </c>
      <c r="I289" s="42">
        <f t="shared" si="13"/>
        <v>5034</v>
      </c>
      <c r="J289" s="42">
        <f t="shared" si="13"/>
        <v>0</v>
      </c>
      <c r="K289" s="42">
        <f t="shared" si="13"/>
        <v>1254</v>
      </c>
      <c r="L289" s="41">
        <f t="shared" si="13"/>
        <v>43151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14429</v>
      </c>
      <c r="G337" s="41">
        <f t="shared" si="20"/>
        <v>5817</v>
      </c>
      <c r="H337" s="41">
        <f t="shared" si="20"/>
        <v>16617</v>
      </c>
      <c r="I337" s="41">
        <f t="shared" si="20"/>
        <v>5034</v>
      </c>
      <c r="J337" s="41">
        <f t="shared" si="20"/>
        <v>0</v>
      </c>
      <c r="K337" s="41">
        <f t="shared" si="20"/>
        <v>1254</v>
      </c>
      <c r="L337" s="41">
        <f t="shared" si="20"/>
        <v>43151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14429</v>
      </c>
      <c r="G351" s="41">
        <f>G337</f>
        <v>5817</v>
      </c>
      <c r="H351" s="41">
        <f>H337</f>
        <v>16617</v>
      </c>
      <c r="I351" s="41">
        <f>I337</f>
        <v>5034</v>
      </c>
      <c r="J351" s="41">
        <f>J337</f>
        <v>0</v>
      </c>
      <c r="K351" s="47">
        <f>K337+K350</f>
        <v>1254</v>
      </c>
      <c r="L351" s="41">
        <f>L337+L350</f>
        <v>43151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33418</v>
      </c>
      <c r="G357" s="18">
        <v>6206</v>
      </c>
      <c r="H357" s="18"/>
      <c r="I357" s="18">
        <v>23865</v>
      </c>
      <c r="J357" s="18"/>
      <c r="K357" s="18"/>
      <c r="L357" s="13">
        <f>SUM(F357:K357)</f>
        <v>63489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33418</v>
      </c>
      <c r="G361" s="47">
        <f t="shared" si="22"/>
        <v>6206</v>
      </c>
      <c r="H361" s="47">
        <f t="shared" si="22"/>
        <v>0</v>
      </c>
      <c r="I361" s="47">
        <f t="shared" si="22"/>
        <v>23865</v>
      </c>
      <c r="J361" s="47">
        <f t="shared" si="22"/>
        <v>0</v>
      </c>
      <c r="K361" s="47">
        <f t="shared" si="22"/>
        <v>0</v>
      </c>
      <c r="L361" s="47">
        <f t="shared" si="22"/>
        <v>63489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22319</v>
      </c>
      <c r="G366" s="18"/>
      <c r="H366" s="18"/>
      <c r="I366" s="56">
        <f>SUM(F366:H366)</f>
        <v>22319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1546</v>
      </c>
      <c r="G367" s="63"/>
      <c r="H367" s="63"/>
      <c r="I367" s="56">
        <f>SUM(F367:H367)</f>
        <v>1546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23865</v>
      </c>
      <c r="G368" s="47">
        <f>SUM(G366:G367)</f>
        <v>0</v>
      </c>
      <c r="H368" s="47">
        <f>SUM(H366:H367)</f>
        <v>0</v>
      </c>
      <c r="I368" s="47">
        <f>SUM(I366:I367)</f>
        <v>23865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164</v>
      </c>
      <c r="I396" s="18"/>
      <c r="J396" s="24" t="s">
        <v>289</v>
      </c>
      <c r="K396" s="24" t="s">
        <v>289</v>
      </c>
      <c r="L396" s="56">
        <f t="shared" si="26"/>
        <v>164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164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164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164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164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55256</v>
      </c>
      <c r="H438" s="18"/>
      <c r="I438" s="56">
        <f t="shared" ref="I438:I444" si="33">SUM(F438:H438)</f>
        <v>55256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55256</v>
      </c>
      <c r="H445" s="13">
        <f>SUM(H438:H444)</f>
        <v>0</v>
      </c>
      <c r="I445" s="13">
        <f>SUM(I438:I444)</f>
        <v>55256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55256</v>
      </c>
      <c r="H458" s="18"/>
      <c r="I458" s="56">
        <f t="shared" si="34"/>
        <v>55256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55256</v>
      </c>
      <c r="H459" s="83">
        <f>SUM(H453:H458)</f>
        <v>0</v>
      </c>
      <c r="I459" s="83">
        <f>SUM(I453:I458)</f>
        <v>55256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55256</v>
      </c>
      <c r="H460" s="42">
        <f>H451+H459</f>
        <v>0</v>
      </c>
      <c r="I460" s="42">
        <f>I451+I459</f>
        <v>55256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-80421</v>
      </c>
      <c r="G464" s="18">
        <v>0</v>
      </c>
      <c r="H464" s="18">
        <v>0</v>
      </c>
      <c r="I464" s="18">
        <v>-31947</v>
      </c>
      <c r="J464" s="18">
        <v>55092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2891951</v>
      </c>
      <c r="G467" s="18">
        <v>63489</v>
      </c>
      <c r="H467" s="18">
        <v>43151</v>
      </c>
      <c r="I467" s="18">
        <v>0</v>
      </c>
      <c r="J467" s="18">
        <v>164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2891951</v>
      </c>
      <c r="G469" s="53">
        <f>SUM(G467:G468)</f>
        <v>63489</v>
      </c>
      <c r="H469" s="53">
        <f>SUM(H467:H468)</f>
        <v>43151</v>
      </c>
      <c r="I469" s="53">
        <f>SUM(I467:I468)</f>
        <v>0</v>
      </c>
      <c r="J469" s="53">
        <f>SUM(J467:J468)</f>
        <v>164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2835575</v>
      </c>
      <c r="G471" s="18">
        <v>63489</v>
      </c>
      <c r="H471" s="18">
        <v>43151</v>
      </c>
      <c r="I471" s="18">
        <v>0</v>
      </c>
      <c r="J471" s="18">
        <v>0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2835575</v>
      </c>
      <c r="G473" s="53">
        <f>SUM(G471:G472)</f>
        <v>63489</v>
      </c>
      <c r="H473" s="53">
        <f>SUM(H471:H472)</f>
        <v>43151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-24045</v>
      </c>
      <c r="G475" s="53">
        <f>(G464+G469)- G473</f>
        <v>0</v>
      </c>
      <c r="H475" s="53">
        <f>(H464+H469)- H473</f>
        <v>0</v>
      </c>
      <c r="I475" s="53">
        <f>(I464+I469)- I473</f>
        <v>-31947</v>
      </c>
      <c r="J475" s="53">
        <f>(J464+J469)- J473</f>
        <v>55256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4975910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3.97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4730000</v>
      </c>
      <c r="G494" s="18"/>
      <c r="H494" s="18"/>
      <c r="I494" s="18"/>
      <c r="J494" s="18"/>
      <c r="K494" s="53">
        <f>SUM(F494:J494)</f>
        <v>4730000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255000</v>
      </c>
      <c r="G496" s="18"/>
      <c r="H496" s="18"/>
      <c r="I496" s="18"/>
      <c r="J496" s="18"/>
      <c r="K496" s="53">
        <f t="shared" si="35"/>
        <v>255000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f>F494-F496</f>
        <v>4475000</v>
      </c>
      <c r="G497" s="205"/>
      <c r="H497" s="205"/>
      <c r="I497" s="205"/>
      <c r="J497" s="205"/>
      <c r="K497" s="206">
        <f t="shared" si="35"/>
        <v>4475000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1888816</v>
      </c>
      <c r="G498" s="18"/>
      <c r="H498" s="18"/>
      <c r="I498" s="18"/>
      <c r="J498" s="18"/>
      <c r="K498" s="53">
        <f t="shared" si="35"/>
        <v>1888816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6363816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6363816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255000</v>
      </c>
      <c r="G500" s="205"/>
      <c r="H500" s="205"/>
      <c r="I500" s="205"/>
      <c r="J500" s="205"/>
      <c r="K500" s="206">
        <f t="shared" si="35"/>
        <v>255000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180290</v>
      </c>
      <c r="G501" s="18"/>
      <c r="H501" s="18"/>
      <c r="I501" s="18"/>
      <c r="J501" s="18"/>
      <c r="K501" s="53">
        <f t="shared" si="35"/>
        <v>180290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435290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435290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0</v>
      </c>
      <c r="G506" s="144">
        <v>0</v>
      </c>
      <c r="H506" s="144">
        <v>0</v>
      </c>
      <c r="I506" s="144">
        <v>0</v>
      </c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114440</v>
      </c>
      <c r="G520" s="18">
        <v>35760</v>
      </c>
      <c r="H520" s="18">
        <v>40446</v>
      </c>
      <c r="I520" s="18">
        <v>510</v>
      </c>
      <c r="J520" s="18"/>
      <c r="K520" s="18">
        <v>125</v>
      </c>
      <c r="L520" s="88">
        <f>SUM(F520:K520)</f>
        <v>191281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v>55628</v>
      </c>
      <c r="I521" s="18"/>
      <c r="J521" s="18"/>
      <c r="K521" s="18"/>
      <c r="L521" s="88">
        <f>SUM(F521:K521)</f>
        <v>55628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77879</v>
      </c>
      <c r="I522" s="18"/>
      <c r="J522" s="18"/>
      <c r="K522" s="18"/>
      <c r="L522" s="88">
        <f>SUM(F522:K522)</f>
        <v>77879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114440</v>
      </c>
      <c r="G523" s="108">
        <f t="shared" ref="G523:L523" si="36">SUM(G520:G522)</f>
        <v>35760</v>
      </c>
      <c r="H523" s="108">
        <f t="shared" si="36"/>
        <v>173953</v>
      </c>
      <c r="I523" s="108">
        <f t="shared" si="36"/>
        <v>510</v>
      </c>
      <c r="J523" s="108">
        <f t="shared" si="36"/>
        <v>0</v>
      </c>
      <c r="K523" s="108">
        <f t="shared" si="36"/>
        <v>125</v>
      </c>
      <c r="L523" s="89">
        <f t="shared" si="36"/>
        <v>324788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47788</v>
      </c>
      <c r="I525" s="18"/>
      <c r="J525" s="18"/>
      <c r="K525" s="18"/>
      <c r="L525" s="88">
        <f>SUM(F525:K525)</f>
        <v>47788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47788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47788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30289</v>
      </c>
      <c r="G530" s="18">
        <v>14612</v>
      </c>
      <c r="H530" s="18"/>
      <c r="I530" s="18"/>
      <c r="J530" s="18"/>
      <c r="K530" s="18">
        <v>44</v>
      </c>
      <c r="L530" s="88">
        <f>SUM(F530:K530)</f>
        <v>44945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30289</v>
      </c>
      <c r="G533" s="89">
        <f t="shared" ref="G533:L533" si="38">SUM(G530:G532)</f>
        <v>14612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44</v>
      </c>
      <c r="L533" s="89">
        <f t="shared" si="38"/>
        <v>44945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32343</v>
      </c>
      <c r="I540" s="18"/>
      <c r="J540" s="18"/>
      <c r="K540" s="18"/>
      <c r="L540" s="88">
        <f>SUM(F540:K540)</f>
        <v>32343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32343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32343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144729</v>
      </c>
      <c r="G544" s="89">
        <f t="shared" ref="G544:L544" si="41">G523+G528+G533+G538+G543</f>
        <v>50372</v>
      </c>
      <c r="H544" s="89">
        <f t="shared" si="41"/>
        <v>254084</v>
      </c>
      <c r="I544" s="89">
        <f t="shared" si="41"/>
        <v>510</v>
      </c>
      <c r="J544" s="89">
        <f t="shared" si="41"/>
        <v>0</v>
      </c>
      <c r="K544" s="89">
        <f t="shared" si="41"/>
        <v>169</v>
      </c>
      <c r="L544" s="89">
        <f t="shared" si="41"/>
        <v>449864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191281</v>
      </c>
      <c r="G548" s="87">
        <f>L525</f>
        <v>47788</v>
      </c>
      <c r="H548" s="87">
        <f>L530</f>
        <v>44945</v>
      </c>
      <c r="I548" s="87">
        <f>L535</f>
        <v>0</v>
      </c>
      <c r="J548" s="87">
        <f>L540</f>
        <v>32343</v>
      </c>
      <c r="K548" s="87">
        <f>SUM(F548:J548)</f>
        <v>316357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55628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55628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77879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77879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324788</v>
      </c>
      <c r="G551" s="89">
        <f t="shared" si="42"/>
        <v>47788</v>
      </c>
      <c r="H551" s="89">
        <f t="shared" si="42"/>
        <v>44945</v>
      </c>
      <c r="I551" s="89">
        <f t="shared" si="42"/>
        <v>0</v>
      </c>
      <c r="J551" s="89">
        <f t="shared" si="42"/>
        <v>32343</v>
      </c>
      <c r="K551" s="89">
        <f t="shared" si="42"/>
        <v>449864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>
        <v>317458</v>
      </c>
      <c r="H574" s="18">
        <f>53236+444278</f>
        <v>497514</v>
      </c>
      <c r="I574" s="87">
        <f>SUM(F574:H574)</f>
        <v>814972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40446</v>
      </c>
      <c r="G577" s="18"/>
      <c r="H577" s="18"/>
      <c r="I577" s="87">
        <f t="shared" si="47"/>
        <v>40446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>
        <v>55628</v>
      </c>
      <c r="H578" s="18">
        <v>77879</v>
      </c>
      <c r="I578" s="87">
        <f t="shared" si="47"/>
        <v>133507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44965</v>
      </c>
      <c r="I590" s="18">
        <v>16742</v>
      </c>
      <c r="J590" s="18">
        <v>23439</v>
      </c>
      <c r="K590" s="104">
        <f t="shared" ref="K590:K596" si="48">SUM(H590:J590)</f>
        <v>85146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32343</v>
      </c>
      <c r="I591" s="18"/>
      <c r="J591" s="18"/>
      <c r="K591" s="104">
        <f t="shared" si="48"/>
        <v>32343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134</v>
      </c>
      <c r="I594" s="18"/>
      <c r="J594" s="18"/>
      <c r="K594" s="104">
        <f t="shared" si="48"/>
        <v>134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77442</v>
      </c>
      <c r="I597" s="108">
        <f>SUM(I590:I596)</f>
        <v>16742</v>
      </c>
      <c r="J597" s="108">
        <f>SUM(J590:J596)</f>
        <v>23439</v>
      </c>
      <c r="K597" s="108">
        <f>SUM(K590:K596)</f>
        <v>117623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5219</v>
      </c>
      <c r="I603" s="18"/>
      <c r="J603" s="18"/>
      <c r="K603" s="104">
        <f>SUM(H603:J603)</f>
        <v>5219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5219</v>
      </c>
      <c r="I604" s="108">
        <f>SUM(I601:I603)</f>
        <v>0</v>
      </c>
      <c r="J604" s="108">
        <f>SUM(J601:J603)</f>
        <v>0</v>
      </c>
      <c r="K604" s="108">
        <f>SUM(K601:K603)</f>
        <v>5219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2570</v>
      </c>
      <c r="G610" s="18">
        <v>278</v>
      </c>
      <c r="H610" s="18"/>
      <c r="I610" s="18"/>
      <c r="J610" s="18"/>
      <c r="K610" s="18"/>
      <c r="L610" s="88">
        <f>SUM(F610:K610)</f>
        <v>2848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2570</v>
      </c>
      <c r="G613" s="108">
        <f t="shared" si="49"/>
        <v>278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2848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223503</v>
      </c>
      <c r="H616" s="109">
        <f>SUM(F51)</f>
        <v>223503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62550</v>
      </c>
      <c r="H617" s="109">
        <f>SUM(G51)</f>
        <v>62550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44117</v>
      </c>
      <c r="H618" s="109">
        <f>SUM(H51)</f>
        <v>44117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955</v>
      </c>
      <c r="H619" s="109">
        <f>SUM(I51)</f>
        <v>955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55256</v>
      </c>
      <c r="H620" s="109">
        <f>SUM(J51)</f>
        <v>55256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-24045</v>
      </c>
      <c r="H621" s="109">
        <f>F475</f>
        <v>-24045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-31947</v>
      </c>
      <c r="H624" s="109">
        <f>I475</f>
        <v>-31947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55256</v>
      </c>
      <c r="H625" s="109">
        <f>J475</f>
        <v>55256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2891951</v>
      </c>
      <c r="H626" s="104">
        <f>SUM(F467)</f>
        <v>2891951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63489</v>
      </c>
      <c r="H627" s="104">
        <f>SUM(G467)</f>
        <v>63489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43151</v>
      </c>
      <c r="H628" s="104">
        <f>SUM(H467)</f>
        <v>43151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164</v>
      </c>
      <c r="H630" s="104">
        <f>SUM(J467)</f>
        <v>164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2835575</v>
      </c>
      <c r="H631" s="104">
        <f>SUM(F471)</f>
        <v>2835575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43151</v>
      </c>
      <c r="H632" s="104">
        <f>SUM(H471)</f>
        <v>43151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23865</v>
      </c>
      <c r="H633" s="104">
        <f>I368</f>
        <v>23865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63489</v>
      </c>
      <c r="H634" s="104">
        <f>SUM(G471)</f>
        <v>63489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164</v>
      </c>
      <c r="H636" s="164">
        <f>SUM(J467)</f>
        <v>164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55256</v>
      </c>
      <c r="H639" s="104">
        <f>SUM(G460)</f>
        <v>55256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55256</v>
      </c>
      <c r="H641" s="104">
        <f>SUM(I460)</f>
        <v>55256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164</v>
      </c>
      <c r="H643" s="104">
        <f>H407</f>
        <v>164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164</v>
      </c>
      <c r="H645" s="104">
        <f>L407</f>
        <v>164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117623</v>
      </c>
      <c r="H646" s="104">
        <f>L207+L225+L243</f>
        <v>117623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5219</v>
      </c>
      <c r="H647" s="104">
        <f>(J256+J337)-(J254+J335)</f>
        <v>5219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77442</v>
      </c>
      <c r="H648" s="104">
        <f>H597</f>
        <v>77442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16742</v>
      </c>
      <c r="H649" s="104">
        <f>I597</f>
        <v>16742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23439</v>
      </c>
      <c r="H650" s="104">
        <f>J597</f>
        <v>23439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23795</v>
      </c>
      <c r="H651" s="104">
        <f>K262+K344</f>
        <v>23795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1486021</v>
      </c>
      <c r="G659" s="19">
        <f>(L228+L308+L358)</f>
        <v>389828</v>
      </c>
      <c r="H659" s="19">
        <f>(L246+L327+L359)</f>
        <v>598832</v>
      </c>
      <c r="I659" s="19">
        <f>SUM(F659:H659)</f>
        <v>2474681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26888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26888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77442</v>
      </c>
      <c r="G661" s="19">
        <f>(L225+L305)-(J225+J305)</f>
        <v>16742</v>
      </c>
      <c r="H661" s="19">
        <f>(L243+L324)-(J243+J324)</f>
        <v>23439</v>
      </c>
      <c r="I661" s="19">
        <f>SUM(F661:H661)</f>
        <v>117623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48513</v>
      </c>
      <c r="G662" s="200">
        <f>SUM(G574:G586)+SUM(I601:I603)+L611</f>
        <v>373086</v>
      </c>
      <c r="H662" s="200">
        <f>SUM(H574:H586)+SUM(J601:J603)+L612</f>
        <v>575393</v>
      </c>
      <c r="I662" s="19">
        <f>SUM(F662:H662)</f>
        <v>996992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1333178</v>
      </c>
      <c r="G663" s="19">
        <f>G659-SUM(G660:G662)</f>
        <v>0</v>
      </c>
      <c r="H663" s="19">
        <f>H659-SUM(H660:H662)</f>
        <v>0</v>
      </c>
      <c r="I663" s="19">
        <f>I659-SUM(I660:I662)</f>
        <v>1333178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94.27</v>
      </c>
      <c r="G664" s="249"/>
      <c r="H664" s="249"/>
      <c r="I664" s="19">
        <f>SUM(F664:H664)</f>
        <v>94.27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14142.12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14142.12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14142.12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14142.12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2" sqref="B12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Mason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343705</v>
      </c>
      <c r="C9" s="230">
        <f>'DOE25'!G196+'DOE25'!G214+'DOE25'!G232+'DOE25'!G275+'DOE25'!G294+'DOE25'!G313</f>
        <v>160138</v>
      </c>
    </row>
    <row r="10" spans="1:3">
      <c r="A10" t="s">
        <v>779</v>
      </c>
      <c r="B10" s="241">
        <v>292515</v>
      </c>
      <c r="C10" s="241">
        <v>144115</v>
      </c>
    </row>
    <row r="11" spans="1:3">
      <c r="A11" t="s">
        <v>780</v>
      </c>
      <c r="B11" s="241">
        <v>51190</v>
      </c>
      <c r="C11" s="241">
        <v>16023</v>
      </c>
    </row>
    <row r="12" spans="1:3">
      <c r="A12" t="s">
        <v>781</v>
      </c>
      <c r="B12" s="241"/>
      <c r="C12" s="241"/>
    </row>
    <row r="13" spans="1:3">
      <c r="A13" t="str">
        <f>IF(B9=B13,IF(C9=C13,"Check Total OK","Check Total Error"),"Check Total Error")</f>
        <v>Check Total OK</v>
      </c>
      <c r="B13" s="232">
        <f>SUM(B10:B12)</f>
        <v>343705</v>
      </c>
      <c r="C13" s="232">
        <f>SUM(C10:C12)</f>
        <v>160138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144729</v>
      </c>
      <c r="C18" s="230">
        <f>'DOE25'!G197+'DOE25'!G215+'DOE25'!G233+'DOE25'!G276+'DOE25'!G295+'DOE25'!G314</f>
        <v>50372</v>
      </c>
    </row>
    <row r="19" spans="1:3">
      <c r="A19" t="s">
        <v>779</v>
      </c>
      <c r="B19" s="241">
        <v>69000</v>
      </c>
      <c r="C19" s="241">
        <v>19304</v>
      </c>
    </row>
    <row r="20" spans="1:3">
      <c r="A20" t="s">
        <v>780</v>
      </c>
      <c r="B20" s="241">
        <v>45441</v>
      </c>
      <c r="C20" s="241">
        <v>16410</v>
      </c>
    </row>
    <row r="21" spans="1:3">
      <c r="A21" t="s">
        <v>781</v>
      </c>
      <c r="B21" s="241">
        <v>30288</v>
      </c>
      <c r="C21" s="241">
        <v>14658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144729</v>
      </c>
      <c r="C22" s="232">
        <f>SUM(C19:C21)</f>
        <v>50372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0</v>
      </c>
      <c r="C36" s="236">
        <f>'DOE25'!G199+'DOE25'!G217+'DOE25'!G235+'DOE25'!G278+'DOE25'!G297+'DOE25'!G316</f>
        <v>0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opLeftCell="B1" workbookViewId="0">
      <pane ySplit="4" topLeftCell="A5" activePane="bottomLeft" state="frozen"/>
      <selection activeCell="G666" sqref="G666"/>
      <selection pane="bottomLeft" activeCell="A51" sqref="A1:H51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Mason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1703577</v>
      </c>
      <c r="D5" s="20">
        <f>SUM('DOE25'!L196:L199)+SUM('DOE25'!L214:L217)+SUM('DOE25'!L232:L235)-F5-G5</f>
        <v>1698289</v>
      </c>
      <c r="E5" s="244"/>
      <c r="F5" s="256">
        <f>SUM('DOE25'!J196:J199)+SUM('DOE25'!J214:J217)+SUM('DOE25'!J232:J235)</f>
        <v>4672</v>
      </c>
      <c r="G5" s="53">
        <f>SUM('DOE25'!K196:K199)+SUM('DOE25'!K214:K217)+SUM('DOE25'!K232:K235)</f>
        <v>616</v>
      </c>
      <c r="H5" s="260"/>
    </row>
    <row r="6" spans="1:9">
      <c r="A6" s="32">
        <v>2100</v>
      </c>
      <c r="B6" t="s">
        <v>801</v>
      </c>
      <c r="C6" s="246">
        <f t="shared" si="0"/>
        <v>146444</v>
      </c>
      <c r="D6" s="20">
        <f>'DOE25'!L201+'DOE25'!L219+'DOE25'!L237-F6-G6</f>
        <v>146444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9908</v>
      </c>
      <c r="D7" s="20">
        <f>'DOE25'!L202+'DOE25'!L220+'DOE25'!L238-F7-G7</f>
        <v>9908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66857</v>
      </c>
      <c r="D8" s="244"/>
      <c r="E8" s="20">
        <f>'DOE25'!L203+'DOE25'!L221+'DOE25'!L239-F8-G8-D9-D11</f>
        <v>65357</v>
      </c>
      <c r="F8" s="256">
        <f>'DOE25'!J203+'DOE25'!J221+'DOE25'!J239</f>
        <v>457</v>
      </c>
      <c r="G8" s="53">
        <f>'DOE25'!K203+'DOE25'!K221+'DOE25'!K239</f>
        <v>1043</v>
      </c>
      <c r="H8" s="260"/>
    </row>
    <row r="9" spans="1:9">
      <c r="A9" s="32">
        <v>2310</v>
      </c>
      <c r="B9" t="s">
        <v>818</v>
      </c>
      <c r="C9" s="246">
        <f t="shared" si="0"/>
        <v>10586</v>
      </c>
      <c r="D9" s="245">
        <v>10586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12015</v>
      </c>
      <c r="D10" s="244"/>
      <c r="E10" s="245">
        <v>12015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84361</v>
      </c>
      <c r="D11" s="245">
        <v>84361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118941</v>
      </c>
      <c r="D12" s="20">
        <f>'DOE25'!L204+'DOE25'!L222+'DOE25'!L240-F12-G12</f>
        <v>117689</v>
      </c>
      <c r="E12" s="244"/>
      <c r="F12" s="256">
        <f>'DOE25'!J204+'DOE25'!J222+'DOE25'!J240</f>
        <v>0</v>
      </c>
      <c r="G12" s="53">
        <f>'DOE25'!K204+'DOE25'!K222+'DOE25'!K240</f>
        <v>1252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109744</v>
      </c>
      <c r="D14" s="20">
        <f>'DOE25'!L206+'DOE25'!L224+'DOE25'!L242-F14-G14</f>
        <v>109654</v>
      </c>
      <c r="E14" s="244"/>
      <c r="F14" s="256">
        <f>'DOE25'!J206+'DOE25'!J224+'DOE25'!J242</f>
        <v>90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117623</v>
      </c>
      <c r="D15" s="20">
        <f>'DOE25'!L207+'DOE25'!L225+'DOE25'!L243-F15-G15</f>
        <v>117623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443739</v>
      </c>
      <c r="D25" s="244"/>
      <c r="E25" s="244"/>
      <c r="F25" s="259"/>
      <c r="G25" s="257"/>
      <c r="H25" s="258">
        <f>'DOE25'!L259+'DOE25'!L260+'DOE25'!L340+'DOE25'!L341</f>
        <v>443739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41170</v>
      </c>
      <c r="D29" s="20">
        <f>'DOE25'!L357+'DOE25'!L358+'DOE25'!L359-'DOE25'!I366-F29-G29</f>
        <v>41170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43151</v>
      </c>
      <c r="D31" s="20">
        <f>'DOE25'!L289+'DOE25'!L308+'DOE25'!L327+'DOE25'!L332+'DOE25'!L333+'DOE25'!L334-F31-G31</f>
        <v>41897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1254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2377621</v>
      </c>
      <c r="E33" s="247">
        <f>SUM(E5:E31)</f>
        <v>77372</v>
      </c>
      <c r="F33" s="247">
        <f>SUM(F5:F31)</f>
        <v>5219</v>
      </c>
      <c r="G33" s="247">
        <f>SUM(G5:G31)</f>
        <v>4165</v>
      </c>
      <c r="H33" s="247">
        <f>SUM(H5:H31)</f>
        <v>443739</v>
      </c>
    </row>
    <row r="35" spans="2:8" ht="12" thickBot="1">
      <c r="B35" s="254" t="s">
        <v>847</v>
      </c>
      <c r="D35" s="255">
        <f>E33</f>
        <v>77372</v>
      </c>
      <c r="E35" s="250"/>
    </row>
    <row r="36" spans="2:8" ht="12" thickTop="1">
      <c r="B36" t="s">
        <v>815</v>
      </c>
      <c r="D36" s="20">
        <f>D33</f>
        <v>2377621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27" activePane="bottomLeft" state="frozen"/>
      <selection activeCell="G666" sqref="G666"/>
      <selection pane="bottomLeft" activeCell="G666" sqref="G666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Mason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102226</v>
      </c>
      <c r="D8" s="95">
        <f>'DOE25'!G9</f>
        <v>0</v>
      </c>
      <c r="E8" s="95">
        <f>'DOE25'!H9</f>
        <v>0</v>
      </c>
      <c r="F8" s="95">
        <f>'DOE25'!I9</f>
        <v>955</v>
      </c>
      <c r="G8" s="95">
        <f>'DOE25'!J9</f>
        <v>55256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117342</v>
      </c>
      <c r="D11" s="95">
        <f>'DOE25'!G12</f>
        <v>61140</v>
      </c>
      <c r="E11" s="95">
        <f>'DOE25'!H12</f>
        <v>26060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1410</v>
      </c>
      <c r="E12" s="95">
        <f>'DOE25'!H13</f>
        <v>18057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3935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223503</v>
      </c>
      <c r="D18" s="41">
        <f>SUM(D8:D17)</f>
        <v>62550</v>
      </c>
      <c r="E18" s="41">
        <f>SUM(E8:E17)</f>
        <v>44117</v>
      </c>
      <c r="F18" s="41">
        <f>SUM(F8:F17)</f>
        <v>955</v>
      </c>
      <c r="G18" s="41">
        <f>SUM(G8:G17)</f>
        <v>55256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87199</v>
      </c>
      <c r="D21" s="95">
        <f>'DOE25'!G22</f>
        <v>62550</v>
      </c>
      <c r="E21" s="95">
        <f>'DOE25'!H22</f>
        <v>44117</v>
      </c>
      <c r="F21" s="95">
        <f>'DOE25'!I22</f>
        <v>10676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10948</v>
      </c>
      <c r="D23" s="95">
        <f>'DOE25'!G24</f>
        <v>0</v>
      </c>
      <c r="E23" s="95">
        <f>'DOE25'!H24</f>
        <v>0</v>
      </c>
      <c r="F23" s="95">
        <f>'DOE25'!I24</f>
        <v>22226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19401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130000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247548</v>
      </c>
      <c r="D31" s="41">
        <f>SUM(D21:D30)</f>
        <v>62550</v>
      </c>
      <c r="E31" s="41">
        <f>SUM(E21:E30)</f>
        <v>44117</v>
      </c>
      <c r="F31" s="41">
        <f>SUM(F21:F30)</f>
        <v>32902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-31947</v>
      </c>
      <c r="G46" s="95">
        <f>'DOE25'!J47</f>
        <v>55256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-24045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-24045</v>
      </c>
      <c r="D49" s="41">
        <f>SUM(D34:D48)</f>
        <v>0</v>
      </c>
      <c r="E49" s="41">
        <f>SUM(E34:E48)</f>
        <v>0</v>
      </c>
      <c r="F49" s="41">
        <f>SUM(F34:F48)</f>
        <v>-31947</v>
      </c>
      <c r="G49" s="41">
        <f>SUM(G34:G48)</f>
        <v>55256</v>
      </c>
      <c r="H49" s="124"/>
      <c r="I49" s="124"/>
    </row>
    <row r="50" spans="1:9" ht="12" thickTop="1">
      <c r="A50" s="38" t="s">
        <v>895</v>
      </c>
      <c r="B50" s="2"/>
      <c r="C50" s="41">
        <f>C49+C31</f>
        <v>223503</v>
      </c>
      <c r="D50" s="41">
        <f>D49+D31</f>
        <v>62550</v>
      </c>
      <c r="E50" s="41">
        <f>E49+E31</f>
        <v>44117</v>
      </c>
      <c r="F50" s="41">
        <f>F49+F31</f>
        <v>955</v>
      </c>
      <c r="G50" s="41">
        <f>G49+G31</f>
        <v>55256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2088975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14010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182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164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26888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4365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18557</v>
      </c>
      <c r="D61" s="130">
        <f>SUM(D56:D60)</f>
        <v>26888</v>
      </c>
      <c r="E61" s="130">
        <f>SUM(E56:E60)</f>
        <v>0</v>
      </c>
      <c r="F61" s="130">
        <f>SUM(F56:F60)</f>
        <v>0</v>
      </c>
      <c r="G61" s="130">
        <f>SUM(G56:G60)</f>
        <v>164</v>
      </c>
      <c r="H61"/>
      <c r="I61"/>
    </row>
    <row r="62" spans="1:9" ht="12" thickTop="1">
      <c r="A62" s="29" t="s">
        <v>175</v>
      </c>
      <c r="B62" s="6"/>
      <c r="C62" s="22">
        <f>C55+C61</f>
        <v>2107532</v>
      </c>
      <c r="D62" s="22">
        <f>D55+D61</f>
        <v>26888</v>
      </c>
      <c r="E62" s="22">
        <f>E55+E61</f>
        <v>0</v>
      </c>
      <c r="F62" s="22">
        <f>F55+F61</f>
        <v>0</v>
      </c>
      <c r="G62" s="22">
        <f>G55+G61</f>
        <v>164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272733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397327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236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670296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66000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18975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14002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384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98977</v>
      </c>
      <c r="D77" s="130">
        <f>SUM(D71:D76)</f>
        <v>384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769273</v>
      </c>
      <c r="D80" s="130">
        <f>SUM(D78:D79)+D77+D69</f>
        <v>384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1224</v>
      </c>
      <c r="D84" s="95">
        <f>'DOE25'!G146</f>
        <v>0</v>
      </c>
      <c r="E84" s="95">
        <f>'DOE25'!H146</f>
        <v>5700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13922</v>
      </c>
      <c r="D87" s="95">
        <f>SUM('DOE25'!G152:G160)</f>
        <v>12422</v>
      </c>
      <c r="E87" s="95">
        <f>SUM('DOE25'!H152:H160)</f>
        <v>37451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15146</v>
      </c>
      <c r="D90" s="131">
        <f>SUM(D84:D89)</f>
        <v>12422</v>
      </c>
      <c r="E90" s="131">
        <f>SUM(E84:E89)</f>
        <v>43151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23795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23795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2891951</v>
      </c>
      <c r="D103" s="86">
        <f>D62+D80+D90+D102</f>
        <v>63489</v>
      </c>
      <c r="E103" s="86">
        <f>E62+E80+E90+E102</f>
        <v>43151</v>
      </c>
      <c r="F103" s="86">
        <f>F62+F80+F90+F102</f>
        <v>0</v>
      </c>
      <c r="G103" s="86">
        <f>G62+G80+G102</f>
        <v>164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1333844</v>
      </c>
      <c r="D108" s="24" t="s">
        <v>289</v>
      </c>
      <c r="E108" s="95">
        <f>('DOE25'!L275)+('DOE25'!L294)+('DOE25'!L313)</f>
        <v>10339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369733</v>
      </c>
      <c r="D109" s="24" t="s">
        <v>289</v>
      </c>
      <c r="E109" s="95">
        <f>('DOE25'!L276)+('DOE25'!L295)+('DOE25'!L314)</f>
        <v>22359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1703577</v>
      </c>
      <c r="D114" s="86">
        <f>SUM(D108:D113)</f>
        <v>0</v>
      </c>
      <c r="E114" s="86">
        <f>SUM(E108:E113)</f>
        <v>32698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146444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9908</v>
      </c>
      <c r="D118" s="24" t="s">
        <v>289</v>
      </c>
      <c r="E118" s="95">
        <f>+('DOE25'!L281)+('DOE25'!L300)+('DOE25'!L319)</f>
        <v>10453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161804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118941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109744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117623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63489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664464</v>
      </c>
      <c r="D127" s="86">
        <f>SUM(D117:D126)</f>
        <v>63489</v>
      </c>
      <c r="E127" s="86">
        <f>SUM(E117:E126)</f>
        <v>10453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255000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188739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23795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164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-164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467534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2835575</v>
      </c>
      <c r="D144" s="86">
        <f>(D114+D127+D143)</f>
        <v>63489</v>
      </c>
      <c r="E144" s="86">
        <f>(E114+E127+E143)</f>
        <v>43151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07/09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08/29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4975910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3.97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4730000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4730000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255000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255000</v>
      </c>
    </row>
    <row r="158" spans="1:9">
      <c r="A158" s="22" t="s">
        <v>35</v>
      </c>
      <c r="B158" s="137">
        <f>'DOE25'!F497</f>
        <v>4475000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4475000</v>
      </c>
    </row>
    <row r="159" spans="1:9">
      <c r="A159" s="22" t="s">
        <v>36</v>
      </c>
      <c r="B159" s="137">
        <f>'DOE25'!F498</f>
        <v>1888816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1888816</v>
      </c>
    </row>
    <row r="160" spans="1:9">
      <c r="A160" s="22" t="s">
        <v>37</v>
      </c>
      <c r="B160" s="137">
        <f>'DOE25'!F499</f>
        <v>6363816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6363816</v>
      </c>
    </row>
    <row r="161" spans="1:7">
      <c r="A161" s="22" t="s">
        <v>38</v>
      </c>
      <c r="B161" s="137">
        <f>'DOE25'!F500</f>
        <v>255000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255000</v>
      </c>
    </row>
    <row r="162" spans="1:7">
      <c r="A162" s="22" t="s">
        <v>39</v>
      </c>
      <c r="B162" s="137">
        <f>'DOE25'!F501</f>
        <v>180290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180290</v>
      </c>
    </row>
    <row r="163" spans="1:7">
      <c r="A163" s="22" t="s">
        <v>246</v>
      </c>
      <c r="B163" s="137">
        <f>'DOE25'!F502</f>
        <v>435290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435290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G666" sqref="G666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Mason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14142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14142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1344183</v>
      </c>
      <c r="D10" s="182">
        <f>ROUND((C10/$C$28)*100,1)</f>
        <v>51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392092</v>
      </c>
      <c r="D11" s="182">
        <f>ROUND((C11/$C$28)*100,1)</f>
        <v>14.9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146444</v>
      </c>
      <c r="D15" s="182">
        <f t="shared" ref="D15:D27" si="0">ROUND((C15/$C$28)*100,1)</f>
        <v>5.6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20361</v>
      </c>
      <c r="D16" s="182">
        <f t="shared" si="0"/>
        <v>0.8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161804</v>
      </c>
      <c r="D17" s="182">
        <f t="shared" si="0"/>
        <v>6.1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118941</v>
      </c>
      <c r="D18" s="182">
        <f t="shared" si="0"/>
        <v>4.5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109744</v>
      </c>
      <c r="D20" s="182">
        <f t="shared" si="0"/>
        <v>4.2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117623</v>
      </c>
      <c r="D21" s="182">
        <f t="shared" si="0"/>
        <v>4.5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188739</v>
      </c>
      <c r="D25" s="182">
        <f t="shared" si="0"/>
        <v>7.2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36601</v>
      </c>
      <c r="D27" s="182">
        <f t="shared" si="0"/>
        <v>1.4</v>
      </c>
    </row>
    <row r="28" spans="1:4">
      <c r="B28" s="187" t="s">
        <v>723</v>
      </c>
      <c r="C28" s="180">
        <f>SUM(C10:C27)</f>
        <v>2636532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2636532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255000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2088975</v>
      </c>
      <c r="D35" s="182">
        <f t="shared" ref="D35:D40" si="1">ROUND((C35/$C$41)*100,1)</f>
        <v>70.900000000000006</v>
      </c>
    </row>
    <row r="36" spans="1:4">
      <c r="B36" s="185" t="s">
        <v>743</v>
      </c>
      <c r="C36" s="179">
        <f>SUM('DOE25'!F111:J111)-SUM('DOE25'!G96:G109)+('DOE25'!F173+'DOE25'!F174+'DOE25'!I173+'DOE25'!I174)-C35</f>
        <v>18721</v>
      </c>
      <c r="D36" s="182">
        <f t="shared" si="1"/>
        <v>0.6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670296</v>
      </c>
      <c r="D37" s="182">
        <f t="shared" si="1"/>
        <v>22.7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99361</v>
      </c>
      <c r="D38" s="182">
        <f t="shared" si="1"/>
        <v>3.4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70719</v>
      </c>
      <c r="D39" s="182">
        <f t="shared" si="1"/>
        <v>2.4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2948072</v>
      </c>
      <c r="D41" s="184">
        <f>SUM(D35:D40)</f>
        <v>100.00000000000001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G666" sqref="G666"/>
      <selection pane="bottomLeft" activeCell="G666" sqref="G666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90" t="str">
        <f>'DOE25'!A2</f>
        <v>Mason School District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2"/>
      <c r="O29" s="212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>
      <c r="A30" s="219"/>
      <c r="B30" s="220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2"/>
      <c r="O30" s="212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>
      <c r="A31" s="219"/>
      <c r="B31" s="220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2"/>
      <c r="O31" s="212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>
      <c r="A32" s="219"/>
      <c r="B32" s="220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9"/>
      <c r="AO32" s="220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9"/>
      <c r="BB32" s="220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9"/>
      <c r="BO32" s="220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9"/>
      <c r="CB32" s="220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9"/>
      <c r="CO32" s="220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9"/>
      <c r="DB32" s="220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9"/>
      <c r="DO32" s="220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9"/>
      <c r="EB32" s="220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9"/>
      <c r="EO32" s="220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9"/>
      <c r="FB32" s="220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9"/>
      <c r="FO32" s="220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9"/>
      <c r="GB32" s="220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9"/>
      <c r="GO32" s="220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9"/>
      <c r="HB32" s="220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9"/>
      <c r="HO32" s="220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9"/>
      <c r="IB32" s="220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9"/>
      <c r="IO32" s="220"/>
      <c r="IP32" s="284"/>
      <c r="IQ32" s="284"/>
      <c r="IR32" s="284"/>
      <c r="IS32" s="284"/>
      <c r="IT32" s="284"/>
      <c r="IU32" s="284"/>
      <c r="IV32" s="284"/>
    </row>
    <row r="33" spans="1:256">
      <c r="A33" s="219"/>
      <c r="B33" s="220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2"/>
      <c r="O38" s="212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>
      <c r="A39" s="219"/>
      <c r="B39" s="220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2"/>
      <c r="O39" s="212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>
      <c r="A40" s="219"/>
      <c r="B40" s="220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2"/>
      <c r="O40" s="212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>
      <c r="A41" s="219"/>
      <c r="B41" s="220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>
      <c r="A60" s="219"/>
      <c r="B60" s="220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>
      <c r="A61" s="219"/>
      <c r="B61" s="220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>
      <c r="A62" s="219"/>
      <c r="B62" s="220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>
      <c r="A63" s="219"/>
      <c r="B63" s="220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>
      <c r="A64" s="219"/>
      <c r="B64" s="220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>
      <c r="A65" s="219"/>
      <c r="B65" s="220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>
      <c r="A66" s="219"/>
      <c r="B66" s="220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>
      <c r="A67" s="219"/>
      <c r="B67" s="220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>
      <c r="A68" s="219"/>
      <c r="B68" s="220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>
      <c r="A69" s="219"/>
      <c r="B69" s="220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>
      <c r="A70" s="221"/>
      <c r="B70" s="222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2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3" t="s">
        <v>848</v>
      </c>
      <c r="B72" s="283"/>
      <c r="C72" s="283"/>
      <c r="D72" s="283"/>
      <c r="E72" s="283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F0A" sheet="1" objects="1" scenarios="1"/>
  <mergeCells count="223">
    <mergeCell ref="EC39:EM39"/>
    <mergeCell ref="GC39:GM39"/>
    <mergeCell ref="BP39:BZ39"/>
    <mergeCell ref="CC39:CM39"/>
    <mergeCell ref="CP39:CZ39"/>
    <mergeCell ref="C45:M45"/>
    <mergeCell ref="C46:M46"/>
    <mergeCell ref="GC40:GM40"/>
    <mergeCell ref="GP40:GZ40"/>
    <mergeCell ref="EC40:EM40"/>
    <mergeCell ref="C44:M44"/>
    <mergeCell ref="C40:M40"/>
    <mergeCell ref="C43:M43"/>
    <mergeCell ref="EP40:EZ40"/>
    <mergeCell ref="P40:Z40"/>
    <mergeCell ref="AC40:AM40"/>
    <mergeCell ref="BC40:BM40"/>
    <mergeCell ref="BP40:BZ40"/>
    <mergeCell ref="FC40:FM40"/>
    <mergeCell ref="FP40:FZ40"/>
    <mergeCell ref="CC40:CM40"/>
    <mergeCell ref="CP40:CZ40"/>
    <mergeCell ref="DC40:DM40"/>
    <mergeCell ref="DP40:DZ40"/>
    <mergeCell ref="IP39:IV39"/>
    <mergeCell ref="EP39:EZ39"/>
    <mergeCell ref="FC39:FM39"/>
    <mergeCell ref="FP39:FZ39"/>
    <mergeCell ref="GP39:GZ39"/>
    <mergeCell ref="IC39:IM39"/>
    <mergeCell ref="IP40:IV40"/>
    <mergeCell ref="GC38:GM38"/>
    <mergeCell ref="GP38:GZ38"/>
    <mergeCell ref="HC38:HM38"/>
    <mergeCell ref="HP38:HZ38"/>
    <mergeCell ref="IC38:IM38"/>
    <mergeCell ref="IP38:IV38"/>
    <mergeCell ref="HP39:HZ39"/>
    <mergeCell ref="HC39:HM39"/>
    <mergeCell ref="HC40:HM40"/>
    <mergeCell ref="HP40:HZ40"/>
    <mergeCell ref="IC40:IM40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HC32:HM32"/>
    <mergeCell ref="EP32:EZ32"/>
    <mergeCell ref="GP32:GZ32"/>
    <mergeCell ref="DC32:DM32"/>
    <mergeCell ref="DP32:DZ32"/>
    <mergeCell ref="EC32:EM32"/>
    <mergeCell ref="FP32:FZ32"/>
    <mergeCell ref="GC32:GM32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BC30:BM30"/>
    <mergeCell ref="BP30:BZ30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GP31:GZ31"/>
    <mergeCell ref="BP38:BZ38"/>
    <mergeCell ref="CC38:CM38"/>
    <mergeCell ref="CC32:CM32"/>
    <mergeCell ref="CP38:CZ38"/>
    <mergeCell ref="BP32:BZ32"/>
    <mergeCell ref="BC38:BM38"/>
    <mergeCell ref="DC38:DM38"/>
    <mergeCell ref="DP38:DZ38"/>
    <mergeCell ref="EC38:EM38"/>
    <mergeCell ref="EP38:EZ38"/>
    <mergeCell ref="FC38:FM38"/>
    <mergeCell ref="FP38:FZ38"/>
    <mergeCell ref="DC39:DM39"/>
    <mergeCell ref="DP39:DZ39"/>
    <mergeCell ref="P30:Z30"/>
    <mergeCell ref="AC30:AM30"/>
    <mergeCell ref="AP30:AZ30"/>
    <mergeCell ref="C41:M41"/>
    <mergeCell ref="C33:M33"/>
    <mergeCell ref="C37:M37"/>
    <mergeCell ref="C38:M38"/>
    <mergeCell ref="C39:M39"/>
    <mergeCell ref="AP40:AZ40"/>
    <mergeCell ref="AC38:AM38"/>
    <mergeCell ref="AP38:AZ38"/>
    <mergeCell ref="AC32:AM32"/>
    <mergeCell ref="AP32:AZ32"/>
    <mergeCell ref="P39:Z39"/>
    <mergeCell ref="AC39:AM39"/>
    <mergeCell ref="AP39:AZ39"/>
    <mergeCell ref="P31:Z31"/>
    <mergeCell ref="C35:M35"/>
    <mergeCell ref="C36:M36"/>
    <mergeCell ref="C5:M5"/>
    <mergeCell ref="C6:M6"/>
    <mergeCell ref="C7:M7"/>
    <mergeCell ref="C8:M8"/>
    <mergeCell ref="C20:M20"/>
    <mergeCell ref="BC29:BM29"/>
    <mergeCell ref="P38:Z38"/>
    <mergeCell ref="AC31:AM31"/>
    <mergeCell ref="IP29:IV29"/>
    <mergeCell ref="FP29:FZ29"/>
    <mergeCell ref="GC29:GM29"/>
    <mergeCell ref="GP29:GZ29"/>
    <mergeCell ref="HC29:HM29"/>
    <mergeCell ref="HP29:HZ29"/>
    <mergeCell ref="IC29:IM29"/>
    <mergeCell ref="CP29:CZ29"/>
    <mergeCell ref="DC29:DM29"/>
    <mergeCell ref="DP29:DZ29"/>
    <mergeCell ref="EC29:EM29"/>
    <mergeCell ref="EP29:EZ29"/>
    <mergeCell ref="FC29:FM29"/>
    <mergeCell ref="IC30:IM30"/>
    <mergeCell ref="IP30:IV30"/>
    <mergeCell ref="BC31:BM31"/>
    <mergeCell ref="C9:M9"/>
    <mergeCell ref="C10:M10"/>
    <mergeCell ref="C11:M11"/>
    <mergeCell ref="C12:M12"/>
    <mergeCell ref="AP31:AZ31"/>
    <mergeCell ref="P32:Z32"/>
    <mergeCell ref="BP29:BZ29"/>
    <mergeCell ref="CC29:CM29"/>
    <mergeCell ref="P29:Z29"/>
    <mergeCell ref="AC29:AM29"/>
    <mergeCell ref="AP29:AZ29"/>
    <mergeCell ref="C24:M24"/>
    <mergeCell ref="C29:M29"/>
    <mergeCell ref="C25:M25"/>
    <mergeCell ref="BC32:BM32"/>
    <mergeCell ref="C14:M14"/>
    <mergeCell ref="C15:M15"/>
    <mergeCell ref="C16:M16"/>
    <mergeCell ref="C17:M17"/>
    <mergeCell ref="C18:M18"/>
    <mergeCell ref="C19:M19"/>
    <mergeCell ref="C21:M21"/>
    <mergeCell ref="C26:M26"/>
    <mergeCell ref="C27:M27"/>
    <mergeCell ref="A1:I1"/>
    <mergeCell ref="C3:M3"/>
    <mergeCell ref="C4:M4"/>
    <mergeCell ref="F2:I2"/>
    <mergeCell ref="A2:E2"/>
    <mergeCell ref="C13:M13"/>
    <mergeCell ref="C22:M22"/>
    <mergeCell ref="C23:M23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34:M34"/>
    <mergeCell ref="C28:M28"/>
    <mergeCell ref="C32:M32"/>
    <mergeCell ref="C30:M30"/>
    <mergeCell ref="C31:M31"/>
    <mergeCell ref="C66:M66"/>
    <mergeCell ref="C67:M67"/>
    <mergeCell ref="C68:M68"/>
    <mergeCell ref="C69:M69"/>
    <mergeCell ref="C62:M62"/>
    <mergeCell ref="C63:M63"/>
    <mergeCell ref="C64:M64"/>
    <mergeCell ref="C65:M65"/>
    <mergeCell ref="C42:M42"/>
    <mergeCell ref="C77:M77"/>
    <mergeCell ref="C78:M78"/>
    <mergeCell ref="C70:M70"/>
    <mergeCell ref="A72:E72"/>
    <mergeCell ref="C73:M73"/>
    <mergeCell ref="C74:M74"/>
    <mergeCell ref="C88:M88"/>
    <mergeCell ref="C89:M89"/>
    <mergeCell ref="C90:M90"/>
    <mergeCell ref="C83:M83"/>
    <mergeCell ref="C84:M84"/>
    <mergeCell ref="C85:M85"/>
    <mergeCell ref="C86:M86"/>
    <mergeCell ref="C87:M87"/>
    <mergeCell ref="C79:M79"/>
    <mergeCell ref="C80:M80"/>
    <mergeCell ref="C81:M81"/>
    <mergeCell ref="C82:M82"/>
    <mergeCell ref="C75:M75"/>
    <mergeCell ref="C76:M7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2012-10-23T12:36:06Z</cp:lastPrinted>
  <dcterms:created xsi:type="dcterms:W3CDTF">1997-12-04T19:04:30Z</dcterms:created>
  <dcterms:modified xsi:type="dcterms:W3CDTF">2012-11-21T15:02:59Z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