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" yWindow="45" windowWidth="2467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'Salaries-Benefits'!$A$1:$C$55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78" i="1" l="1"/>
  <c r="H577" i="1"/>
  <c r="F159" i="1" l="1"/>
  <c r="B20" i="12"/>
  <c r="C20" i="12"/>
  <c r="F116" i="1"/>
  <c r="G13" i="13" l="1"/>
  <c r="C39" i="12"/>
  <c r="C40" i="12" s="1"/>
  <c r="A40" i="12" s="1"/>
  <c r="C19" i="12"/>
  <c r="B19" i="12"/>
  <c r="B22" i="12" s="1"/>
  <c r="A22" i="12" s="1"/>
  <c r="I578" i="1"/>
  <c r="L541" i="1"/>
  <c r="J549" i="1" s="1"/>
  <c r="I498" i="1"/>
  <c r="H498" i="1"/>
  <c r="G498" i="1"/>
  <c r="I497" i="1"/>
  <c r="H497" i="1"/>
  <c r="G497" i="1"/>
  <c r="I494" i="1"/>
  <c r="E155" i="2" s="1"/>
  <c r="H494" i="1"/>
  <c r="G494" i="1"/>
  <c r="C155" i="2" s="1"/>
  <c r="F232" i="1"/>
  <c r="F204" i="1"/>
  <c r="L204" i="1" s="1"/>
  <c r="F214" i="1"/>
  <c r="F196" i="1"/>
  <c r="H591" i="1"/>
  <c r="H243" i="1"/>
  <c r="L243" i="1" s="1"/>
  <c r="H661" i="1" s="1"/>
  <c r="J594" i="1"/>
  <c r="J590" i="1"/>
  <c r="K590" i="1" s="1"/>
  <c r="I591" i="1"/>
  <c r="J591" i="1"/>
  <c r="J597" i="1" s="1"/>
  <c r="H650" i="1" s="1"/>
  <c r="J320" i="1"/>
  <c r="J327" i="1"/>
  <c r="H133" i="1"/>
  <c r="E76" i="2"/>
  <c r="H225" i="1"/>
  <c r="G225" i="1"/>
  <c r="G243" i="1"/>
  <c r="J467" i="1"/>
  <c r="H636" i="1" s="1"/>
  <c r="G47" i="1"/>
  <c r="D46" i="2"/>
  <c r="F359" i="1"/>
  <c r="F358" i="1"/>
  <c r="F357" i="1"/>
  <c r="F49" i="1"/>
  <c r="C48" i="2" s="1"/>
  <c r="F64" i="1"/>
  <c r="F24" i="1"/>
  <c r="C23" i="2" s="1"/>
  <c r="C31" i="2"/>
  <c r="F40" i="2"/>
  <c r="F49" i="2"/>
  <c r="D39" i="2"/>
  <c r="G654" i="1"/>
  <c r="J654" i="1" s="1"/>
  <c r="F47" i="2"/>
  <c r="E47" i="2"/>
  <c r="D47" i="2"/>
  <c r="C47" i="2"/>
  <c r="C49" i="2" s="1"/>
  <c r="C50" i="2" s="1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L205" i="1"/>
  <c r="L223" i="1"/>
  <c r="L241" i="1"/>
  <c r="F16" i="13"/>
  <c r="G16" i="13"/>
  <c r="L208" i="1"/>
  <c r="L226" i="1"/>
  <c r="C124" i="2"/>
  <c r="L244" i="1"/>
  <c r="F5" i="13"/>
  <c r="G5" i="13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C15" i="10" s="1"/>
  <c r="F7" i="13"/>
  <c r="G7" i="13"/>
  <c r="L202" i="1"/>
  <c r="L238" i="1"/>
  <c r="C16" i="10" s="1"/>
  <c r="F12" i="13"/>
  <c r="G12" i="13"/>
  <c r="L222" i="1"/>
  <c r="L240" i="1"/>
  <c r="D12" i="13" s="1"/>
  <c r="C12" i="13" s="1"/>
  <c r="F14" i="13"/>
  <c r="G14" i="13"/>
  <c r="L206" i="1"/>
  <c r="L224" i="1"/>
  <c r="L242" i="1"/>
  <c r="F15" i="13"/>
  <c r="G15" i="13"/>
  <c r="L207" i="1"/>
  <c r="L225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H660" i="1" s="1"/>
  <c r="L359" i="1"/>
  <c r="I366" i="1"/>
  <c r="I368" i="1" s="1"/>
  <c r="H633" i="1" s="1"/>
  <c r="J289" i="1"/>
  <c r="J308" i="1"/>
  <c r="K289" i="1"/>
  <c r="K308" i="1"/>
  <c r="K327" i="1"/>
  <c r="L275" i="1"/>
  <c r="L276" i="1"/>
  <c r="L277" i="1"/>
  <c r="L278" i="1"/>
  <c r="L280" i="1"/>
  <c r="L281" i="1"/>
  <c r="L289" i="1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E123" i="2" s="1"/>
  <c r="L306" i="1"/>
  <c r="L313" i="1"/>
  <c r="L314" i="1"/>
  <c r="L315" i="1"/>
  <c r="L316" i="1"/>
  <c r="L318" i="1"/>
  <c r="L319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C25" i="10"/>
  <c r="L254" i="1"/>
  <c r="C129" i="2"/>
  <c r="L335" i="1"/>
  <c r="C11" i="13"/>
  <c r="C10" i="13"/>
  <c r="C9" i="13"/>
  <c r="L360" i="1"/>
  <c r="B4" i="12"/>
  <c r="B36" i="12"/>
  <c r="C36" i="12"/>
  <c r="B40" i="12"/>
  <c r="B27" i="12"/>
  <c r="A31" i="12"/>
  <c r="C27" i="12"/>
  <c r="B31" i="12"/>
  <c r="C31" i="12"/>
  <c r="B13" i="12"/>
  <c r="C9" i="12"/>
  <c r="C13" i="12"/>
  <c r="B18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C40" i="10"/>
  <c r="F59" i="1"/>
  <c r="G59" i="1"/>
  <c r="H59" i="1"/>
  <c r="E55" i="2" s="1"/>
  <c r="I59" i="1"/>
  <c r="F78" i="1"/>
  <c r="C56" i="2"/>
  <c r="F93" i="1"/>
  <c r="F110" i="1"/>
  <c r="G110" i="1"/>
  <c r="G111" i="1"/>
  <c r="H78" i="1"/>
  <c r="H93" i="1"/>
  <c r="E57" i="2" s="1"/>
  <c r="E61" i="2"/>
  <c r="H110" i="1"/>
  <c r="I110" i="1"/>
  <c r="J110" i="1"/>
  <c r="J111" i="1" s="1"/>
  <c r="J192" i="1"/>
  <c r="F120" i="1"/>
  <c r="F135" i="1"/>
  <c r="G120" i="1"/>
  <c r="G139" i="1" s="1"/>
  <c r="G135" i="1"/>
  <c r="H120" i="1"/>
  <c r="H135" i="1"/>
  <c r="H139" i="1" s="1"/>
  <c r="I120" i="1"/>
  <c r="I139" i="1"/>
  <c r="I135" i="1"/>
  <c r="J120" i="1"/>
  <c r="J139" i="1" s="1"/>
  <c r="J135" i="1"/>
  <c r="F146" i="1"/>
  <c r="F168" i="1" s="1"/>
  <c r="C39" i="10" s="1"/>
  <c r="F161" i="1"/>
  <c r="G146" i="1"/>
  <c r="D84" i="2" s="1"/>
  <c r="D90" i="2" s="1"/>
  <c r="G161" i="1"/>
  <c r="G168" i="1"/>
  <c r="H146" i="1"/>
  <c r="E84" i="2"/>
  <c r="E90" i="2" s="1"/>
  <c r="H161" i="1"/>
  <c r="H168" i="1"/>
  <c r="I146" i="1"/>
  <c r="F84" i="2"/>
  <c r="I161" i="1"/>
  <c r="L249" i="1"/>
  <c r="C112" i="2" s="1"/>
  <c r="L331" i="1"/>
  <c r="C23" i="10" s="1"/>
  <c r="L253" i="1"/>
  <c r="L267" i="1"/>
  <c r="C26" i="10" s="1"/>
  <c r="L268" i="1"/>
  <c r="L348" i="1"/>
  <c r="E141" i="2" s="1"/>
  <c r="L349" i="1"/>
  <c r="I664" i="1"/>
  <c r="I669" i="1"/>
  <c r="F661" i="1"/>
  <c r="I668" i="1"/>
  <c r="C42" i="10"/>
  <c r="L373" i="1"/>
  <c r="F129" i="2" s="1"/>
  <c r="L374" i="1"/>
  <c r="L375" i="1"/>
  <c r="L376" i="1"/>
  <c r="L377" i="1"/>
  <c r="L378" i="1"/>
  <c r="L379" i="1"/>
  <c r="B2" i="10"/>
  <c r="L343" i="1"/>
  <c r="L344" i="1"/>
  <c r="E134" i="2" s="1"/>
  <c r="L345" i="1"/>
  <c r="E136" i="2" s="1"/>
  <c r="E143" i="2" s="1"/>
  <c r="L346" i="1"/>
  <c r="K350" i="1"/>
  <c r="L520" i="1"/>
  <c r="L521" i="1"/>
  <c r="F549" i="1" s="1"/>
  <c r="F551" i="1" s="1"/>
  <c r="L522" i="1"/>
  <c r="F550" i="1" s="1"/>
  <c r="L525" i="1"/>
  <c r="G548" i="1" s="1"/>
  <c r="L526" i="1"/>
  <c r="G549" i="1" s="1"/>
  <c r="L527" i="1"/>
  <c r="G550" i="1" s="1"/>
  <c r="L530" i="1"/>
  <c r="L531" i="1"/>
  <c r="H549" i="1"/>
  <c r="L532" i="1"/>
  <c r="H550" i="1"/>
  <c r="L535" i="1"/>
  <c r="I548" i="1"/>
  <c r="L536" i="1"/>
  <c r="I549" i="1"/>
  <c r="L537" i="1"/>
  <c r="I550" i="1"/>
  <c r="L540" i="1"/>
  <c r="J548" i="1" s="1"/>
  <c r="L542" i="1"/>
  <c r="J550" i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 s="1"/>
  <c r="C10" i="2"/>
  <c r="C18" i="2" s="1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/>
  <c r="C13" i="2"/>
  <c r="D13" i="2"/>
  <c r="E13" i="2"/>
  <c r="E18" i="2" s="1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/>
  <c r="G31" i="2" s="1"/>
  <c r="C22" i="2"/>
  <c r="D22" i="2"/>
  <c r="D31" i="2" s="1"/>
  <c r="E22" i="2"/>
  <c r="F22" i="2"/>
  <c r="F31" i="2" s="1"/>
  <c r="I448" i="1"/>
  <c r="J23" i="1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E49" i="2" s="1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G36" i="2" s="1"/>
  <c r="I458" i="1"/>
  <c r="J47" i="1"/>
  <c r="G46" i="2" s="1"/>
  <c r="G49" i="2"/>
  <c r="G50" i="2" s="1"/>
  <c r="D55" i="2"/>
  <c r="E56" i="2"/>
  <c r="C57" i="2"/>
  <c r="C58" i="2"/>
  <c r="D58" i="2"/>
  <c r="E58" i="2"/>
  <c r="F58" i="2"/>
  <c r="D59" i="2"/>
  <c r="D61" i="2" s="1"/>
  <c r="D62" i="2" s="1"/>
  <c r="D103" i="2" s="1"/>
  <c r="C60" i="2"/>
  <c r="D60" i="2"/>
  <c r="E60" i="2"/>
  <c r="F60" i="2"/>
  <c r="F61" i="2" s="1"/>
  <c r="C65" i="2"/>
  <c r="C66" i="2"/>
  <c r="C68" i="2"/>
  <c r="D68" i="2"/>
  <c r="D69" i="2"/>
  <c r="E68" i="2"/>
  <c r="E69" i="2"/>
  <c r="F68" i="2"/>
  <c r="F69" i="2"/>
  <c r="G68" i="2"/>
  <c r="G69" i="2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D80" i="2"/>
  <c r="F76" i="2"/>
  <c r="G76" i="2"/>
  <c r="G77" i="2" s="1"/>
  <c r="C78" i="2"/>
  <c r="D78" i="2"/>
  <c r="E78" i="2"/>
  <c r="C79" i="2"/>
  <c r="E79" i="2"/>
  <c r="C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F102" i="2" s="1"/>
  <c r="G95" i="2"/>
  <c r="C96" i="2"/>
  <c r="D96" i="2"/>
  <c r="E96" i="2"/>
  <c r="E102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E109" i="2"/>
  <c r="C111" i="2"/>
  <c r="E112" i="2"/>
  <c r="D114" i="2"/>
  <c r="F114" i="2"/>
  <c r="G114" i="2"/>
  <c r="E118" i="2"/>
  <c r="E121" i="2"/>
  <c r="E124" i="2"/>
  <c r="F127" i="2"/>
  <c r="G127" i="2"/>
  <c r="E129" i="2"/>
  <c r="D133" i="2"/>
  <c r="D143" i="2"/>
  <c r="E133" i="2"/>
  <c r="F133" i="2"/>
  <c r="K418" i="1"/>
  <c r="K433" i="1"/>
  <c r="G133" i="2" s="1"/>
  <c r="G143" i="2" s="1"/>
  <c r="K426" i="1"/>
  <c r="K432" i="1"/>
  <c r="L262" i="1"/>
  <c r="C134" i="2"/>
  <c r="L263" i="1"/>
  <c r="C135" i="2"/>
  <c r="L264" i="1"/>
  <c r="C136" i="2"/>
  <c r="C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D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G157" i="2" s="1"/>
  <c r="B158" i="2"/>
  <c r="C158" i="2"/>
  <c r="E158" i="2"/>
  <c r="F158" i="2"/>
  <c r="B159" i="2"/>
  <c r="D159" i="2"/>
  <c r="F159" i="2"/>
  <c r="F499" i="1"/>
  <c r="B160" i="2"/>
  <c r="J499" i="1"/>
  <c r="F160" i="2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502" i="1"/>
  <c r="H502" i="1"/>
  <c r="D163" i="2" s="1"/>
  <c r="I502" i="1"/>
  <c r="E163" i="2" s="1"/>
  <c r="J502" i="1"/>
  <c r="F163" i="2" s="1"/>
  <c r="F19" i="1"/>
  <c r="G616" i="1" s="1"/>
  <c r="G19" i="1"/>
  <c r="G617" i="1"/>
  <c r="H19" i="1"/>
  <c r="G618" i="1"/>
  <c r="I19" i="1"/>
  <c r="G619" i="1"/>
  <c r="F32" i="1"/>
  <c r="G32" i="1"/>
  <c r="H32" i="1"/>
  <c r="H51" i="1" s="1"/>
  <c r="I32" i="1"/>
  <c r="F50" i="1"/>
  <c r="G50" i="1"/>
  <c r="G622" i="1"/>
  <c r="H50" i="1"/>
  <c r="G623" i="1"/>
  <c r="H618" i="1"/>
  <c r="I50" i="1"/>
  <c r="F176" i="1"/>
  <c r="I176" i="1"/>
  <c r="F182" i="1"/>
  <c r="G182" i="1"/>
  <c r="H182" i="1"/>
  <c r="I182" i="1"/>
  <c r="I191" i="1" s="1"/>
  <c r="J182" i="1"/>
  <c r="J191" i="1"/>
  <c r="F187" i="1"/>
  <c r="G187" i="1"/>
  <c r="G191" i="1" s="1"/>
  <c r="H187" i="1"/>
  <c r="H191" i="1"/>
  <c r="I187" i="1"/>
  <c r="F210" i="1"/>
  <c r="G210" i="1"/>
  <c r="H210" i="1"/>
  <c r="I210" i="1"/>
  <c r="J210" i="1"/>
  <c r="J256" i="1" s="1"/>
  <c r="J270" i="1" s="1"/>
  <c r="K210" i="1"/>
  <c r="K256" i="1" s="1"/>
  <c r="K270" i="1" s="1"/>
  <c r="F228" i="1"/>
  <c r="G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89" i="1"/>
  <c r="F337" i="1" s="1"/>
  <c r="F351" i="1" s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G337" i="1" s="1"/>
  <c r="G351" i="1" s="1"/>
  <c r="H336" i="1"/>
  <c r="I336" i="1"/>
  <c r="I337" i="1" s="1"/>
  <c r="I351" i="1" s="1"/>
  <c r="J336" i="1"/>
  <c r="K336" i="1"/>
  <c r="F361" i="1"/>
  <c r="G361" i="1"/>
  <c r="H361" i="1"/>
  <c r="I361" i="1"/>
  <c r="G633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G407" i="1" s="1"/>
  <c r="H644" i="1" s="1"/>
  <c r="J644" i="1" s="1"/>
  <c r="H406" i="1"/>
  <c r="I406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J433" i="1" s="1"/>
  <c r="F445" i="1"/>
  <c r="G445" i="1"/>
  <c r="H445" i="1"/>
  <c r="G640" i="1" s="1"/>
  <c r="I445" i="1"/>
  <c r="G641" i="1" s="1"/>
  <c r="F451" i="1"/>
  <c r="G451" i="1"/>
  <c r="H451" i="1"/>
  <c r="H460" i="1" s="1"/>
  <c r="H640" i="1" s="1"/>
  <c r="F459" i="1"/>
  <c r="G459" i="1"/>
  <c r="H459" i="1"/>
  <c r="I459" i="1"/>
  <c r="G460" i="1"/>
  <c r="H639" i="1" s="1"/>
  <c r="F469" i="1"/>
  <c r="F475" i="1" s="1"/>
  <c r="H621" i="1"/>
  <c r="G469" i="1"/>
  <c r="G475" i="1"/>
  <c r="H622" i="1" s="1"/>
  <c r="J622" i="1" s="1"/>
  <c r="H469" i="1"/>
  <c r="I469" i="1"/>
  <c r="J469" i="1"/>
  <c r="J475" i="1" s="1"/>
  <c r="H625" i="1"/>
  <c r="J625" i="1" s="1"/>
  <c r="F473" i="1"/>
  <c r="G473" i="1"/>
  <c r="H473" i="1"/>
  <c r="I473" i="1"/>
  <c r="I475" i="1" s="1"/>
  <c r="H624" i="1" s="1"/>
  <c r="J473" i="1"/>
  <c r="K495" i="1"/>
  <c r="K496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K544" i="1" s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F570" i="1" s="1"/>
  <c r="G559" i="1"/>
  <c r="H559" i="1"/>
  <c r="H570" i="1" s="1"/>
  <c r="I559" i="1"/>
  <c r="J559" i="1"/>
  <c r="J570" i="1" s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/>
  <c r="H569" i="1"/>
  <c r="I569" i="1"/>
  <c r="J569" i="1"/>
  <c r="K569" i="1"/>
  <c r="K570" i="1" s="1"/>
  <c r="I574" i="1"/>
  <c r="I575" i="1"/>
  <c r="I576" i="1"/>
  <c r="I577" i="1"/>
  <c r="I579" i="1"/>
  <c r="I580" i="1"/>
  <c r="I581" i="1"/>
  <c r="I582" i="1"/>
  <c r="I583" i="1"/>
  <c r="I584" i="1"/>
  <c r="I585" i="1"/>
  <c r="I586" i="1"/>
  <c r="K592" i="1"/>
  <c r="K593" i="1"/>
  <c r="K594" i="1"/>
  <c r="K595" i="1"/>
  <c r="K596" i="1"/>
  <c r="H597" i="1"/>
  <c r="H648" i="1" s="1"/>
  <c r="G648" i="1"/>
  <c r="J648" i="1" s="1"/>
  <c r="I597" i="1"/>
  <c r="H649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H626" i="1"/>
  <c r="H627" i="1"/>
  <c r="H628" i="1"/>
  <c r="H629" i="1"/>
  <c r="H630" i="1"/>
  <c r="H631" i="1"/>
  <c r="H632" i="1"/>
  <c r="H634" i="1"/>
  <c r="H635" i="1"/>
  <c r="H637" i="1"/>
  <c r="G638" i="1"/>
  <c r="G639" i="1"/>
  <c r="J639" i="1"/>
  <c r="G642" i="1"/>
  <c r="G643" i="1"/>
  <c r="G644" i="1"/>
  <c r="G651" i="1"/>
  <c r="H651" i="1"/>
  <c r="J651" i="1"/>
  <c r="G652" i="1"/>
  <c r="J652" i="1" s="1"/>
  <c r="H652" i="1"/>
  <c r="G653" i="1"/>
  <c r="J653" i="1" s="1"/>
  <c r="H653" i="1"/>
  <c r="H654" i="1"/>
  <c r="D18" i="13"/>
  <c r="C18" i="13" s="1"/>
  <c r="G102" i="2"/>
  <c r="H111" i="1"/>
  <c r="H192" i="1" s="1"/>
  <c r="G628" i="1" s="1"/>
  <c r="J628" i="1" s="1"/>
  <c r="L432" i="1"/>
  <c r="I168" i="1"/>
  <c r="L392" i="1"/>
  <c r="F22" i="13"/>
  <c r="C22" i="13" s="1"/>
  <c r="J633" i="1"/>
  <c r="J544" i="1"/>
  <c r="I570" i="1"/>
  <c r="L220" i="1"/>
  <c r="H228" i="1"/>
  <c r="C137" i="2"/>
  <c r="D17" i="13"/>
  <c r="C17" i="13" s="1"/>
  <c r="C121" i="2"/>
  <c r="E13" i="13"/>
  <c r="C13" i="13" s="1"/>
  <c r="I256" i="1"/>
  <c r="I270" i="1" s="1"/>
  <c r="C12" i="10"/>
  <c r="D14" i="13"/>
  <c r="C14" i="13" s="1"/>
  <c r="C142" i="2"/>
  <c r="L400" i="1"/>
  <c r="C138" i="2" s="1"/>
  <c r="F50" i="2"/>
  <c r="H548" i="1"/>
  <c r="H551" i="1" s="1"/>
  <c r="E8" i="13"/>
  <c r="C8" i="13" s="1"/>
  <c r="E16" i="13"/>
  <c r="G80" i="2"/>
  <c r="E113" i="2"/>
  <c r="E117" i="2"/>
  <c r="I51" i="1"/>
  <c r="H619" i="1" s="1"/>
  <c r="G624" i="1"/>
  <c r="E110" i="2"/>
  <c r="F51" i="1"/>
  <c r="H616" i="1" s="1"/>
  <c r="C61" i="2"/>
  <c r="F139" i="1"/>
  <c r="G621" i="1"/>
  <c r="I551" i="1"/>
  <c r="L533" i="1"/>
  <c r="G551" i="1"/>
  <c r="L523" i="1"/>
  <c r="F548" i="1"/>
  <c r="L538" i="1"/>
  <c r="F544" i="1"/>
  <c r="L528" i="1"/>
  <c r="G162" i="2"/>
  <c r="G155" i="2"/>
  <c r="L381" i="1"/>
  <c r="G635" i="1" s="1"/>
  <c r="J635" i="1"/>
  <c r="C29" i="10"/>
  <c r="L246" i="1"/>
  <c r="L320" i="1"/>
  <c r="C123" i="2"/>
  <c r="C21" i="10"/>
  <c r="J50" i="1"/>
  <c r="G625" i="1" s="1"/>
  <c r="F460" i="1"/>
  <c r="H638" i="1"/>
  <c r="G22" i="2"/>
  <c r="I451" i="1"/>
  <c r="I460" i="1" s="1"/>
  <c r="H641" i="1" s="1"/>
  <c r="G9" i="2"/>
  <c r="J19" i="1"/>
  <c r="G620" i="1" s="1"/>
  <c r="E31" i="2"/>
  <c r="G649" i="1"/>
  <c r="J649" i="1" s="1"/>
  <c r="H433" i="1"/>
  <c r="D49" i="2"/>
  <c r="D50" i="2" s="1"/>
  <c r="F660" i="1"/>
  <c r="G51" i="1"/>
  <c r="H617" i="1" s="1"/>
  <c r="J617" i="1"/>
  <c r="J618" i="1"/>
  <c r="H475" i="1"/>
  <c r="H623" i="1" s="1"/>
  <c r="J623" i="1"/>
  <c r="L569" i="1"/>
  <c r="C11" i="10"/>
  <c r="L308" i="1"/>
  <c r="G256" i="1"/>
  <c r="G270" i="1"/>
  <c r="H544" i="1" l="1"/>
  <c r="J551" i="1"/>
  <c r="L543" i="1"/>
  <c r="L544" i="1" s="1"/>
  <c r="K549" i="1"/>
  <c r="K550" i="1"/>
  <c r="C90" i="2"/>
  <c r="E119" i="2"/>
  <c r="E127" i="2" s="1"/>
  <c r="C17" i="10"/>
  <c r="L327" i="1"/>
  <c r="J624" i="1"/>
  <c r="I660" i="1"/>
  <c r="H659" i="1"/>
  <c r="H663" i="1" s="1"/>
  <c r="I544" i="1"/>
  <c r="G645" i="1"/>
  <c r="G630" i="1"/>
  <c r="J630" i="1" s="1"/>
  <c r="C35" i="10"/>
  <c r="F111" i="1"/>
  <c r="C55" i="2"/>
  <c r="C62" i="2" s="1"/>
  <c r="J638" i="1"/>
  <c r="F407" i="1"/>
  <c r="H642" i="1" s="1"/>
  <c r="F256" i="1"/>
  <c r="F270" i="1" s="1"/>
  <c r="C163" i="2"/>
  <c r="G163" i="2" s="1"/>
  <c r="K502" i="1"/>
  <c r="G192" i="1"/>
  <c r="G627" i="1" s="1"/>
  <c r="J627" i="1" s="1"/>
  <c r="C38" i="10"/>
  <c r="C120" i="2"/>
  <c r="C18" i="10"/>
  <c r="D126" i="2"/>
  <c r="D127" i="2" s="1"/>
  <c r="D144" i="2" s="1"/>
  <c r="G650" i="1"/>
  <c r="J650" i="1" s="1"/>
  <c r="K591" i="1"/>
  <c r="K597" i="1" s="1"/>
  <c r="G646" i="1" s="1"/>
  <c r="J646" i="1" s="1"/>
  <c r="K494" i="1"/>
  <c r="J640" i="1"/>
  <c r="H407" i="1"/>
  <c r="H643" i="1" s="1"/>
  <c r="H256" i="1"/>
  <c r="H270" i="1" s="1"/>
  <c r="F191" i="1"/>
  <c r="J619" i="1"/>
  <c r="C102" i="2"/>
  <c r="G18" i="2"/>
  <c r="D18" i="2"/>
  <c r="K548" i="1"/>
  <c r="F143" i="2"/>
  <c r="F144" i="2" s="1"/>
  <c r="G62" i="2"/>
  <c r="G103" i="2" s="1"/>
  <c r="J337" i="1"/>
  <c r="J351" i="1" s="1"/>
  <c r="F31" i="13"/>
  <c r="F33" i="13" s="1"/>
  <c r="L196" i="1"/>
  <c r="B9" i="12"/>
  <c r="A13" i="12" s="1"/>
  <c r="D158" i="2"/>
  <c r="G158" i="2" s="1"/>
  <c r="H499" i="1"/>
  <c r="D160" i="2" s="1"/>
  <c r="K497" i="1"/>
  <c r="E159" i="2"/>
  <c r="I499" i="1"/>
  <c r="E160" i="2" s="1"/>
  <c r="G544" i="1"/>
  <c r="G660" i="1"/>
  <c r="D29" i="13"/>
  <c r="C29" i="13" s="1"/>
  <c r="L361" i="1"/>
  <c r="D19" i="13"/>
  <c r="C19" i="13" s="1"/>
  <c r="C113" i="2"/>
  <c r="C24" i="10"/>
  <c r="C122" i="2"/>
  <c r="L228" i="1"/>
  <c r="G659" i="1" s="1"/>
  <c r="D15" i="13"/>
  <c r="C15" i="13" s="1"/>
  <c r="J643" i="1"/>
  <c r="J616" i="1"/>
  <c r="G144" i="2"/>
  <c r="F18" i="2"/>
  <c r="C159" i="2"/>
  <c r="G159" i="2" s="1"/>
  <c r="G499" i="1"/>
  <c r="K498" i="1"/>
  <c r="C16" i="13"/>
  <c r="E33" i="13"/>
  <c r="D35" i="13" s="1"/>
  <c r="C118" i="2"/>
  <c r="J642" i="1"/>
  <c r="J641" i="1"/>
  <c r="E50" i="2"/>
  <c r="J32" i="1"/>
  <c r="J51" i="1" s="1"/>
  <c r="H620" i="1" s="1"/>
  <c r="J620" i="1" s="1"/>
  <c r="I661" i="1"/>
  <c r="F90" i="2"/>
  <c r="E62" i="2"/>
  <c r="E103" i="2" s="1"/>
  <c r="F662" i="1"/>
  <c r="I662" i="1" s="1"/>
  <c r="H646" i="1"/>
  <c r="G661" i="1"/>
  <c r="C20" i="10"/>
  <c r="L418" i="1"/>
  <c r="L433" i="1" s="1"/>
  <c r="G637" i="1" s="1"/>
  <c r="J637" i="1" s="1"/>
  <c r="L336" i="1"/>
  <c r="L337" i="1" s="1"/>
  <c r="L351" i="1" s="1"/>
  <c r="G632" i="1" s="1"/>
  <c r="J632" i="1" s="1"/>
  <c r="E77" i="2"/>
  <c r="E80" i="2" s="1"/>
  <c r="G61" i="2"/>
  <c r="L406" i="1"/>
  <c r="C32" i="10"/>
  <c r="H25" i="13"/>
  <c r="E120" i="2"/>
  <c r="C13" i="10"/>
  <c r="E111" i="2"/>
  <c r="E108" i="2"/>
  <c r="D6" i="13"/>
  <c r="C6" i="13" s="1"/>
  <c r="C117" i="2"/>
  <c r="C127" i="2" s="1"/>
  <c r="C110" i="2"/>
  <c r="C19" i="10"/>
  <c r="J621" i="1"/>
  <c r="D7" i="13"/>
  <c r="C7" i="13" s="1"/>
  <c r="L559" i="1"/>
  <c r="L570" i="1" s="1"/>
  <c r="F77" i="2"/>
  <c r="F80" i="2" s="1"/>
  <c r="C69" i="2"/>
  <c r="C80" i="2" s="1"/>
  <c r="F55" i="2"/>
  <c r="F62" i="2" s="1"/>
  <c r="F103" i="2" s="1"/>
  <c r="I111" i="1"/>
  <c r="I192" i="1" s="1"/>
  <c r="G629" i="1" s="1"/>
  <c r="J629" i="1" s="1"/>
  <c r="L350" i="1"/>
  <c r="E122" i="2"/>
  <c r="K337" i="1"/>
  <c r="K351" i="1" s="1"/>
  <c r="G31" i="13"/>
  <c r="G33" i="13" s="1"/>
  <c r="K551" i="1" l="1"/>
  <c r="C103" i="2"/>
  <c r="C160" i="2"/>
  <c r="G160" i="2" s="1"/>
  <c r="K499" i="1"/>
  <c r="H647" i="1"/>
  <c r="J647" i="1" s="1"/>
  <c r="G634" i="1"/>
  <c r="J634" i="1" s="1"/>
  <c r="C27" i="10"/>
  <c r="C36" i="10"/>
  <c r="C139" i="2"/>
  <c r="L407" i="1"/>
  <c r="E114" i="2"/>
  <c r="E144" i="2" s="1"/>
  <c r="C25" i="13"/>
  <c r="H33" i="13"/>
  <c r="G663" i="1"/>
  <c r="C108" i="2"/>
  <c r="C114" i="2" s="1"/>
  <c r="D5" i="13"/>
  <c r="C10" i="10"/>
  <c r="L210" i="1"/>
  <c r="D31" i="13"/>
  <c r="C31" i="13" s="1"/>
  <c r="F192" i="1"/>
  <c r="G626" i="1" s="1"/>
  <c r="H671" i="1"/>
  <c r="C6" i="10" s="1"/>
  <c r="H666" i="1"/>
  <c r="G671" i="1" l="1"/>
  <c r="C5" i="10" s="1"/>
  <c r="G666" i="1"/>
  <c r="H645" i="1"/>
  <c r="J645" i="1" s="1"/>
  <c r="G636" i="1"/>
  <c r="J636" i="1" s="1"/>
  <c r="J626" i="1"/>
  <c r="C5" i="13"/>
  <c r="D33" i="13"/>
  <c r="D36" i="13" s="1"/>
  <c r="C140" i="2"/>
  <c r="C143" i="2" s="1"/>
  <c r="C144" i="2" s="1"/>
  <c r="L256" i="1"/>
  <c r="L270" i="1" s="1"/>
  <c r="G631" i="1" s="1"/>
  <c r="J631" i="1" s="1"/>
  <c r="F659" i="1"/>
  <c r="C28" i="10"/>
  <c r="C41" i="10"/>
  <c r="D37" i="10" l="1"/>
  <c r="D40" i="10"/>
  <c r="D39" i="10"/>
  <c r="D35" i="10"/>
  <c r="D38" i="10"/>
  <c r="D25" i="10"/>
  <c r="C30" i="10"/>
  <c r="D23" i="10"/>
  <c r="D12" i="10"/>
  <c r="D11" i="10"/>
  <c r="D16" i="10"/>
  <c r="D22" i="10"/>
  <c r="D15" i="10"/>
  <c r="D21" i="10"/>
  <c r="D26" i="10"/>
  <c r="D13" i="10"/>
  <c r="D18" i="10"/>
  <c r="D17" i="10"/>
  <c r="D20" i="10"/>
  <c r="D24" i="10"/>
  <c r="D19" i="10"/>
  <c r="D10" i="10"/>
  <c r="D28" i="10" s="1"/>
  <c r="D36" i="10"/>
  <c r="H655" i="1"/>
  <c r="D27" i="10"/>
  <c r="I659" i="1"/>
  <c r="I663" i="1" s="1"/>
  <c r="F663" i="1"/>
  <c r="I671" i="1" l="1"/>
  <c r="C7" i="10" s="1"/>
  <c r="I666" i="1"/>
  <c r="D41" i="10"/>
  <c r="F666" i="1"/>
  <c r="F671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<sst xmlns="http://schemas.openxmlformats.org/spreadsheetml/2006/main" count="3952" uniqueCount="919">
  <si>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</si>
  <si>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</si>
  <si>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</si>
  <si>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</si>
  <si>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</si>
  <si>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</si>
  <si>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</si>
  <si>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</si>
  <si>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</si>
  <si>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</si>
  <si>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</si>
  <si>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</si>
  <si>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</si>
  <si>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</si>
  <si>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</si>
  <si>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</si>
  <si>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</si>
  <si>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</si>
  <si>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</si>
  <si>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</si>
  <si>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</si>
  <si>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</si>
  <si>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</si>
  <si>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</si>
  <si>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</si>
  <si>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</si>
  <si>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</si>
  <si>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</si>
  <si>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</si>
  <si>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</si>
  <si>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</si>
  <si>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</si>
  <si>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</si>
  <si>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</si>
  <si>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</si>
  <si>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</si>
  <si>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</si>
  <si>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</si>
  <si>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</si>
  <si>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</si>
  <si>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</si>
  <si>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</si>
  <si>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</si>
  <si>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</si>
  <si>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</si>
  <si>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</si>
  <si>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</si>
  <si>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</si>
  <si>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</si>
  <si>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</si>
  <si>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</si>
  <si>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</si>
  <si>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</si>
  <si>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</si>
  <si>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</si>
  <si>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</si>
  <si>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</si>
  <si>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</si>
  <si>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</si>
  <si>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</si>
  <si>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</si>
  <si>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</si>
  <si>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</si>
  <si>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</si>
  <si>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</si>
  <si>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</si>
  <si>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</si>
  <si>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</si>
  <si>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</si>
  <si>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</si>
  <si>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</si>
  <si>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</si>
  <si>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</si>
  <si>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</si>
  <si>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</si>
  <si>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</si>
  <si>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</si>
  <si>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</si>
  <si>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</si>
  <si>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</si>
  <si>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</si>
  <si>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</si>
  <si>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</si>
  <si>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</si>
  <si>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</si>
  <si>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</si>
  <si>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</si>
  <si>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</si>
  <si>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</si>
  <si>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</si>
  <si>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</si>
  <si>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</si>
  <si>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</si>
  <si>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</si>
  <si>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</si>
  <si>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</si>
  <si>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</si>
  <si>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</si>
  <si>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</si>
  <si>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</si>
  <si>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</si>
  <si>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</si>
  <si>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</si>
  <si>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</si>
  <si>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</si>
  <si>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</si>
  <si>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</si>
  <si>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</si>
  <si>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</si>
  <si>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</si>
  <si>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</si>
  <si>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</si>
  <si>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</si>
  <si>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</si>
  <si>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</si>
  <si>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</si>
  <si>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</si>
  <si>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</si>
  <si>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</si>
  <si>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</si>
  <si>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</si>
  <si>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</si>
  <si>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</si>
  <si>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</si>
  <si>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</si>
  <si>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</si>
  <si>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</si>
  <si>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</si>
  <si>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</si>
  <si>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</si>
  <si>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</si>
  <si>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</si>
  <si>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</si>
  <si>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</si>
  <si>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</si>
  <si>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</si>
  <si>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</si>
  <si>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</si>
  <si>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</si>
  <si>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</si>
  <si>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</si>
  <si>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</si>
  <si>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</si>
  <si>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</si>
  <si>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</si>
  <si>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</si>
  <si>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</si>
  <si>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</si>
  <si>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</si>
  <si>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</si>
  <si>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</si>
  <si>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</si>
  <si>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</si>
  <si>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</si>
  <si>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</si>
  <si>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</si>
  <si>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</si>
  <si>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</si>
  <si>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</si>
  <si>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</si>
  <si>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</si>
  <si>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</si>
  <si>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</si>
  <si>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</si>
  <si>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</si>
  <si>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</si>
  <si>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</si>
  <si>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</si>
  <si>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</si>
  <si>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</si>
  <si>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</si>
  <si>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</si>
  <si>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</si>
  <si>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</si>
  <si>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</si>
  <si>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</si>
  <si>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</si>
  <si>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</si>
  <si>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</si>
  <si>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</si>
  <si>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</si>
  <si>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</si>
  <si>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</si>
  <si>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</si>
  <si>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</si>
  <si>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</si>
  <si>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</si>
  <si>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</si>
  <si>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</si>
  <si>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</si>
  <si>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</si>
  <si>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</si>
  <si>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</si>
  <si>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</si>
  <si>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</si>
  <si>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</si>
  <si>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</si>
  <si>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</si>
  <si>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</si>
  <si>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</si>
  <si>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</si>
  <si>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</si>
  <si>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</si>
  <si>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</si>
  <si>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</si>
  <si>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</si>
  <si>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</si>
  <si>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</si>
  <si>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</si>
  <si>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</si>
  <si>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</si>
  <si>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</si>
  <si>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</si>
  <si>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</si>
  <si>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</si>
  <si>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</si>
  <si>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</si>
  <si>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</si>
  <si>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</si>
  <si>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</si>
  <si>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</si>
  <si>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</si>
  <si>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</si>
  <si>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</si>
  <si>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</si>
  <si>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</si>
  <si>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</si>
  <si>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</si>
  <si>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</si>
  <si>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</si>
  <si>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</si>
  <si>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</si>
  <si>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</si>
  <si>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</si>
  <si>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</si>
  <si>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</si>
  <si>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</si>
  <si>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</si>
  <si>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</si>
  <si>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</si>
  <si>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</si>
  <si>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</si>
  <si>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</si>
  <si>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</si>
  <si>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</si>
  <si>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</si>
  <si>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</si>
  <si>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</si>
  <si>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</si>
  <si>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</si>
  <si>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</si>
  <si>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</si>
  <si>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</si>
  <si>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</si>
  <si>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</si>
  <si>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</si>
  <si>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</si>
  <si>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</si>
  <si>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</si>
  <si>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</si>
  <si>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</si>
  <si>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</si>
  <si>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</si>
  <si>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</si>
  <si>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</si>
  <si>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</si>
  <si>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</si>
  <si>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</si>
  <si>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</si>
  <si>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</si>
  <si>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</si>
  <si>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</si>
  <si>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</si>
  <si>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</si>
  <si>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</si>
  <si>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</si>
  <si>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</si>
  <si>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</si>
  <si>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</si>
  <si>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</si>
  <si>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</si>
  <si>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</si>
  <si>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</si>
  <si>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</si>
  <si>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</si>
  <si>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</si>
  <si>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</si>
  <si>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</si>
  <si>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</si>
  <si>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</si>
  <si>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</si>
  <si>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</si>
  <si>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</si>
  <si>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</si>
  <si>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</si>
  <si>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</si>
  <si>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</si>
  <si>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</si>
  <si>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</si>
  <si>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</si>
  <si>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</si>
  <si>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</si>
  <si>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</si>
  <si>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</si>
  <si>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</si>
  <si>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</si>
  <si>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</si>
  <si>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</si>
  <si>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</si>
  <si>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</si>
  <si>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</si>
  <si>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</si>
  <si>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</si>
  <si>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</si>
  <si>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</si>
  <si>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</si>
  <si>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</si>
  <si>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</si>
  <si>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</si>
  <si>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</si>
  <si>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</si>
  <si>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</si>
  <si>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</si>
  <si>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</si>
  <si>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</si>
  <si>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</si>
  <si>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</si>
  <si>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</si>
  <si>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</si>
  <si>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</si>
  <si>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</si>
  <si>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</si>
  <si>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</si>
  <si>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</si>
  <si>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</si>
  <si>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</si>
  <si>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</si>
  <si>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</si>
  <si>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</si>
  <si>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</si>
  <si>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</si>
  <si>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</si>
  <si>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</si>
  <si>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</si>
  <si>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</si>
  <si>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</si>
  <si>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</si>
  <si>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</si>
  <si>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</si>
  <si>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</si>
  <si>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</si>
  <si>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</si>
  <si>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</si>
  <si>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</si>
  <si>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</si>
  <si>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</si>
  <si>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</si>
  <si>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</si>
  <si>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</si>
  <si>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</si>
  <si>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</si>
  <si>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</si>
  <si>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</si>
  <si>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</si>
  <si>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</si>
  <si>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</si>
  <si>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</si>
  <si>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</si>
  <si>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</si>
  <si>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</si>
  <si>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</si>
  <si>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</si>
  <si>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</si>
  <si>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</si>
  <si>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</si>
  <si>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</si>
  <si>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</si>
  <si>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</si>
  <si>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</si>
  <si>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</si>
  <si>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</si>
  <si>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</si>
  <si>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</si>
  <si>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</si>
  <si>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</si>
  <si>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</si>
  <si>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</si>
  <si>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</si>
  <si>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</si>
  <si>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</si>
  <si>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</si>
  <si>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</si>
  <si>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</si>
  <si>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</si>
  <si>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</si>
  <si>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</si>
  <si>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</si>
  <si>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</si>
  <si>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</si>
  <si>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</si>
  <si>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</si>
  <si>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</si>
  <si>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</si>
  <si>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</si>
  <si>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</si>
  <si>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</si>
  <si>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</si>
  <si>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</si>
  <si>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</si>
  <si>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</si>
  <si>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</si>
  <si>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</si>
  <si>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</si>
  <si>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</si>
  <si>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</si>
  <si>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</si>
  <si>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</si>
  <si>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</si>
  <si>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</si>
  <si>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</si>
  <si>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</si>
  <si>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</si>
  <si>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</si>
  <si>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</si>
  <si>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</si>
  <si>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</si>
  <si>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</si>
  <si>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</si>
  <si>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</si>
  <si>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</si>
  <si>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</si>
  <si>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</si>
  <si>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</si>
  <si>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</si>
  <si>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</si>
  <si>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</si>
  <si>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</si>
  <si>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</si>
  <si>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</si>
  <si>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</si>
  <si>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</si>
  <si>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</si>
  <si>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</si>
  <si>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</si>
  <si>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</si>
  <si>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</si>
  <si>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</si>
  <si>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</si>
  <si>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</si>
  <si>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</si>
  <si>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</si>
  <si>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</si>
  <si>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</si>
  <si>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</si>
  <si>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</si>
  <si>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</si>
  <si>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</si>
  <si>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</si>
  <si>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</si>
  <si>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</si>
  <si>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</si>
  <si>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</si>
  <si>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</si>
  <si>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</si>
  <si>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</si>
  <si>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</si>
  <si>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</si>
  <si>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</si>
  <si>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</si>
  <si>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</si>
  <si>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</si>
  <si>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</si>
  <si>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</si>
  <si>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</si>
  <si>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</si>
  <si>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</si>
  <si>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</si>
  <si>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</si>
  <si>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</si>
  <si>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</si>
  <si>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</si>
  <si>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</si>
  <si>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</si>
  <si>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</si>
  <si>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</si>
  <si>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</si>
  <si>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</si>
  <si>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</si>
  <si>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</si>
  <si>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</si>
  <si>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</si>
  <si>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</si>
  <si>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</si>
  <si>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</si>
  <si>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</si>
  <si>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</si>
  <si>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</si>
  <si>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</si>
  <si>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</si>
  <si>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</si>
  <si>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</si>
  <si>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</si>
  <si>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</si>
  <si>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</si>
  <si>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</si>
  <si>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</si>
  <si>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</si>
  <si>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</si>
  <si>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</si>
  <si>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</si>
  <si>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</si>
  <si>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</si>
  <si>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</si>
  <si>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</si>
  <si>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</si>
  <si>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</si>
  <si>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</si>
  <si>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</si>
  <si>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</si>
  <si>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</si>
  <si>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</si>
  <si>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</si>
  <si>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</si>
  <si>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</si>
  <si>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</si>
  <si>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</si>
  <si>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</si>
  <si>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</si>
  <si>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</si>
  <si>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</si>
  <si>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</si>
  <si>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</si>
  <si>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</si>
  <si>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</si>
  <si>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</si>
  <si>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</si>
  <si>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</si>
  <si>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</si>
  <si>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</si>
  <si>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</si>
  <si>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</si>
  <si>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</si>
  <si>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</si>
  <si>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</si>
  <si>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</si>
  <si>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</si>
  <si>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</si>
  <si>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</si>
  <si>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</si>
  <si>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</si>
  <si>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</si>
  <si>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</si>
  <si>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</si>
  <si>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</si>
  <si>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</si>
  <si>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</si>
  <si>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</si>
  <si>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</si>
  <si>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</si>
  <si>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</si>
  <si>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</si>
  <si>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</si>
  <si>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</si>
  <si>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</si>
  <si>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</si>
  <si>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</si>
  <si>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</si>
  <si>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</si>
  <si>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</si>
  <si>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</si>
  <si>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</si>
  <si>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</si>
  <si>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</si>
  <si>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</si>
  <si>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</si>
  <si>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</si>
  <si>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</si>
  <si>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</si>
  <si>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</si>
  <si>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</si>
  <si>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</si>
  <si>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</si>
  <si>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</si>
  <si>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</si>
  <si>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</si>
  <si>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</si>
  <si>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</si>
  <si>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</si>
  <si>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</si>
  <si>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</si>
  <si>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</si>
  <si>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</si>
  <si>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</si>
  <si>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</si>
  <si>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</si>
  <si>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</si>
  <si>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</si>
  <si>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</si>
  <si>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</si>
  <si>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</si>
  <si>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</si>
  <si>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</si>
  <si>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</si>
  <si>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</si>
  <si>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</si>
  <si>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</si>
  <si>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</si>
  <si>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</si>
  <si>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</si>
  <si>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</si>
  <si>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</si>
  <si>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</si>
  <si>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</si>
  <si>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</si>
  <si>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</si>
  <si>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</si>
  <si>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</si>
  <si>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</si>
  <si>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</si>
  <si>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</si>
  <si>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</si>
  <si>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</si>
  <si>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</si>
  <si>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</si>
  <si>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</si>
  <si>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</si>
  <si>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</si>
  <si>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</si>
  <si>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</si>
  <si>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</si>
  <si>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</si>
  <si>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</si>
  <si>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</si>
  <si>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</si>
  <si>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</si>
  <si>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</si>
  <si>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</si>
  <si>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</si>
  <si>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</si>
  <si>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</si>
  <si>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</si>
  <si>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</si>
  <si>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</si>
  <si>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</si>
  <si>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</si>
  <si>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</si>
  <si>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</si>
  <si>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</si>
  <si>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</si>
  <si>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</si>
  <si>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</si>
  <si>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</si>
  <si>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</si>
  <si>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</si>
  <si>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</si>
  <si>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</si>
  <si>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</si>
  <si>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</si>
  <si>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</si>
  <si>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</si>
  <si>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</si>
  <si>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</si>
  <si>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</si>
  <si>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</si>
  <si>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</si>
  <si>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</si>
  <si>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</si>
  <si>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</si>
  <si>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</si>
  <si>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</si>
  <si>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</si>
  <si>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</si>
  <si>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</si>
  <si>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</si>
  <si>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</si>
  <si>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</si>
  <si>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</si>
  <si>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</si>
  <si>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</si>
  <si>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</si>
  <si>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</si>
  <si>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</si>
  <si>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</si>
  <si>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</si>
  <si>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</si>
  <si>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</si>
  <si>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</si>
  <si>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</si>
  <si>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</si>
  <si>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</si>
  <si>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</si>
  <si>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</si>
  <si>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</si>
  <si>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</si>
  <si>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</si>
  <si>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</si>
  <si>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</si>
  <si>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</si>
  <si>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</si>
  <si>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</si>
  <si>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</si>
  <si>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</si>
  <si>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</si>
  <si>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</si>
  <si>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</si>
  <si>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</si>
  <si>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</si>
  <si>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</si>
  <si>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</si>
  <si>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</si>
  <si>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</si>
  <si>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</si>
  <si>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</si>
  <si>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</si>
  <si>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</si>
  <si>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</si>
  <si>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</si>
  <si>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</si>
  <si>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</si>
  <si>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</si>
  <si>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</si>
  <si>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</si>
  <si>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</si>
  <si>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</si>
  <si>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</si>
  <si>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</si>
  <si>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</si>
  <si>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</si>
  <si>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</si>
  <si>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</si>
  <si>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</si>
  <si>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</si>
  <si>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</si>
  <si>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</si>
  <si>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</si>
  <si>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</si>
  <si>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</si>
  <si>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</si>
  <si>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</si>
  <si>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</si>
  <si>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</si>
  <si>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</si>
  <si>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</si>
  <si>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</si>
  <si>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</si>
  <si>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</si>
  <si>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</si>
  <si>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</si>
  <si>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</si>
  <si>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</si>
  <si>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</si>
  <si>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</si>
  <si>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</si>
  <si>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</si>
  <si>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</si>
  <si>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</si>
  <si>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</si>
  <si>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</si>
  <si>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</si>
  <si>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</si>
  <si>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</si>
  <si>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</si>
  <si>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</si>
  <si>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</si>
  <si>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</si>
  <si>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</si>
  <si>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</si>
  <si>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</si>
  <si>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</si>
  <si>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</si>
  <si>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</si>
  <si>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</si>
  <si>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</si>
  <si>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</si>
  <si>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</si>
  <si>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</si>
  <si>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</si>
  <si>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</si>
  <si>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</si>
  <si>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</si>
  <si>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</si>
  <si>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</si>
  <si>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</si>
  <si>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</si>
  <si>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</si>
  <si>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</si>
  <si>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</si>
  <si>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</si>
  <si>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</si>
  <si>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</si>
  <si>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</si>
  <si>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</si>
  <si>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</si>
  <si>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</si>
  <si>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</si>
  <si>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</si>
  <si>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</si>
  <si>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</si>
  <si>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</si>
  <si>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</si>
  <si>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</si>
  <si>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</si>
  <si>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</si>
  <si>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</si>
  <si>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</si>
  <si>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</si>
  <si>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</si>
  <si>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</si>
  <si>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</si>
  <si>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</si>
  <si>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</si>
  <si>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</si>
  <si>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</si>
  <si>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</si>
  <si>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</si>
  <si>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</si>
  <si>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</si>
  <si>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</si>
  <si>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</si>
  <si>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</si>
  <si>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</si>
  <si>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</si>
  <si>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</si>
  <si>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</si>
  <si>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</si>
  <si>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</si>
  <si>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</si>
  <si>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</si>
  <si>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</si>
  <si>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</si>
  <si>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</si>
  <si>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</si>
  <si>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</si>
  <si>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</si>
  <si>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</si>
  <si>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</si>
  <si>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</si>
  <si>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</si>
  <si>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</si>
  <si>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</si>
  <si>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</si>
  <si>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</si>
  <si>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</si>
  <si>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</si>
  <si>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</si>
  <si>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</si>
  <si>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</si>
  <si>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</si>
  <si>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</si>
  <si>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</si>
  <si>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</si>
  <si>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</si>
  <si>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</si>
  <si>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</si>
  <si>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</si>
  <si>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</si>
  <si>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</si>
  <si>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</si>
  <si>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</si>
  <si>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</si>
  <si>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</si>
  <si>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</si>
  <si>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</si>
  <si>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</si>
  <si>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</si>
  <si>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</si>
  <si>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</si>
  <si>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</si>
  <si>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</si>
  <si>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</si>
  <si>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</si>
  <si>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</si>
  <si>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</si>
  <si>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</si>
  <si>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</si>
  <si>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</si>
  <si>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</si>
  <si>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</si>
  <si>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</si>
  <si>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</si>
  <si>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</si>
  <si>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</si>
  <si>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</si>
  <si>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</si>
  <si>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</si>
  <si>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</si>
  <si>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</si>
  <si>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</si>
  <si>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</si>
  <si>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</si>
  <si>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</si>
  <si>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</si>
  <si>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</si>
  <si>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</si>
  <si>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</si>
  <si>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</si>
  <si>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</si>
  <si>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</si>
  <si>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</si>
  <si>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</si>
  <si>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</si>
  <si>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</si>
  <si>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</si>
  <si>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</si>
  <si>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</si>
  <si>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</si>
  <si>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</si>
  <si>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</si>
  <si>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</si>
  <si>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Donation</t>
  </si>
  <si>
    <t>2/97</t>
  </si>
  <si>
    <t>2/01</t>
  </si>
  <si>
    <t>2/04</t>
  </si>
  <si>
    <t>07/07</t>
  </si>
  <si>
    <t>8/11</t>
  </si>
  <si>
    <t>8/20</t>
  </si>
  <si>
    <t>8/23</t>
  </si>
  <si>
    <t>07/20</t>
  </si>
  <si>
    <t>Merrimack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</si>
</sst>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918</v>
      </c>
      <c r="B2" s="21">
        <v>351</v>
      </c>
      <c r="C2" s="21">
        <v>351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1249965.73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921299.97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467535.59</v>
      </c>
      <c r="G12" s="18"/>
      <c r="H12" s="18">
        <v>571409.86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96163.17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103688.84</v>
      </c>
      <c r="G14" s="18">
        <v>41550.53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35342.300000000003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390258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2211448.16</v>
      </c>
      <c r="G19" s="41">
        <f>SUM(G9:G18)</f>
        <v>173056</v>
      </c>
      <c r="H19" s="41">
        <f>SUM(H9:H18)</f>
        <v>571409.86</v>
      </c>
      <c r="I19" s="41">
        <f>SUM(I9:I18)</f>
        <v>0</v>
      </c>
      <c r="J19" s="41">
        <f>SUM(J9:J18)</f>
        <v>921299.97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435845.22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208262.31</f>
        <v>208262.31</v>
      </c>
      <c r="G24" s="18">
        <v>62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14964.96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208262.31</v>
      </c>
      <c r="G32" s="41">
        <f>SUM(G22:G31)</f>
        <v>15026.96</v>
      </c>
      <c r="H32" s="41">
        <f>SUM(H22:H31)</f>
        <v>435845.22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35342.300000000003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390258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78144.33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58664.62</v>
      </c>
      <c r="G47" s="18">
        <f>113486.63+44542.41-113486.63</f>
        <v>44542.41</v>
      </c>
      <c r="H47" s="18">
        <v>135564.64000000001</v>
      </c>
      <c r="I47" s="18"/>
      <c r="J47" s="13">
        <f>SUM(I458)</f>
        <v>921299.97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1643777.59-89514.36</f>
        <v>1554263.23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2003185.85</v>
      </c>
      <c r="G50" s="41">
        <f>SUM(G35:G49)</f>
        <v>158029.04</v>
      </c>
      <c r="H50" s="41">
        <f>SUM(H35:H49)</f>
        <v>135564.64000000001</v>
      </c>
      <c r="I50" s="41">
        <f>SUM(I35:I49)</f>
        <v>0</v>
      </c>
      <c r="J50" s="41">
        <f>SUM(J35:J49)</f>
        <v>921299.97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2211448.16</v>
      </c>
      <c r="G51" s="41">
        <f>G50+G32</f>
        <v>173056</v>
      </c>
      <c r="H51" s="41">
        <f>H50+H32</f>
        <v>571409.86</v>
      </c>
      <c r="I51" s="41">
        <f>I50+I32</f>
        <v>0</v>
      </c>
      <c r="J51" s="41">
        <f>J50+J32</f>
        <v>921299.97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40577447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40577447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f>13167+42525+14078</f>
        <v>69770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12956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72486.3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94904.43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667.51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250784.24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4560.16</v>
      </c>
      <c r="G95" s="18">
        <v>0</v>
      </c>
      <c r="H95" s="18"/>
      <c r="I95" s="18"/>
      <c r="J95" s="18">
        <v>7400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1118290.55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21759.52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41961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>
        <v>9800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68280.679999999993</v>
      </c>
      <c r="G110" s="41">
        <f>SUM(G95:G109)</f>
        <v>1118290.55</v>
      </c>
      <c r="H110" s="41">
        <f>SUM(H95:H109)</f>
        <v>0</v>
      </c>
      <c r="I110" s="41">
        <f>SUM(I95:I109)</f>
        <v>0</v>
      </c>
      <c r="J110" s="41">
        <f>SUM(J95:J109)</f>
        <v>17200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40896511.920000002</v>
      </c>
      <c r="G111" s="41">
        <f>G59+G110</f>
        <v>1118290.55</v>
      </c>
      <c r="H111" s="41">
        <f>H59+H78+H93+H110</f>
        <v>0</v>
      </c>
      <c r="I111" s="41">
        <f>I59+I110</f>
        <v>0</v>
      </c>
      <c r="J111" s="41">
        <f>J59+J110</f>
        <v>17200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10445382-3042.39</f>
        <v>10442339.609999999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6882362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9042.39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17333744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468771.34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1109167.1499999999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8319.4599999999991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346.66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f>3468+1338.36+1530+1917+211713.3</f>
        <v>219966.65999999997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1586257.95</v>
      </c>
      <c r="G135" s="41">
        <f>SUM(G122:G134)</f>
        <v>346.66</v>
      </c>
      <c r="H135" s="41">
        <f>SUM(H122:H134)</f>
        <v>219966.65999999997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18920001.949999999</v>
      </c>
      <c r="G139" s="41">
        <f>G120+SUM(G135:G136)</f>
        <v>346.66</v>
      </c>
      <c r="H139" s="41">
        <f>H120+SUM(H135:H138)</f>
        <v>219966.65999999997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370218.17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211713.3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224632.26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900531.61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716814.16-8319.46-6000</f>
        <v>702494.70000000007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394991.54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1097486.24</v>
      </c>
      <c r="G161" s="41">
        <f>SUM(G149:G160)</f>
        <v>224632.26</v>
      </c>
      <c r="H161" s="41">
        <f>SUM(H149:H160)</f>
        <v>1482463.08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1097486.24</v>
      </c>
      <c r="G168" s="41">
        <f>G146+G161+SUM(G162:G167)</f>
        <v>224632.26</v>
      </c>
      <c r="H168" s="41">
        <f>H146+H161+SUM(H162:H167)</f>
        <v>1482463.08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60914000.110000007</v>
      </c>
      <c r="G192" s="47">
        <f>G111+G139+G168+G191</f>
        <v>1343269.47</v>
      </c>
      <c r="H192" s="47">
        <f>H111+H139+H168+H191</f>
        <v>1702429.74</v>
      </c>
      <c r="I192" s="47">
        <f>I111+I139+I168+I191</f>
        <v>0</v>
      </c>
      <c r="J192" s="47">
        <f>J111+J139+J191</f>
        <v>17200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7046086.09-200000</f>
        <v>6846086.0899999999</v>
      </c>
      <c r="G196" s="18">
        <v>3676342.57</v>
      </c>
      <c r="H196" s="18">
        <v>57829</v>
      </c>
      <c r="I196" s="18">
        <v>313100.51</v>
      </c>
      <c r="J196" s="18">
        <v>29795.360000000001</v>
      </c>
      <c r="K196" s="18"/>
      <c r="L196" s="19">
        <f>SUM(F196:K196)</f>
        <v>10923153.529999999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3828772.84</v>
      </c>
      <c r="G197" s="18">
        <v>1997687.84</v>
      </c>
      <c r="H197" s="18">
        <v>771684.42</v>
      </c>
      <c r="I197" s="18">
        <v>17432.68</v>
      </c>
      <c r="J197" s="18"/>
      <c r="K197" s="18"/>
      <c r="L197" s="19">
        <f>SUM(F197:K197)</f>
        <v>6615577.7799999993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4"/>
      <c r="G199" s="4"/>
      <c r="H199" s="18">
        <v>4407.01</v>
      </c>
      <c r="I199" s="18"/>
      <c r="J199" s="18"/>
      <c r="K199" s="18"/>
      <c r="L199" s="19">
        <f>SUM(F199:K199)</f>
        <v>4407.01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1426037.97</v>
      </c>
      <c r="G201" s="18">
        <v>744044.85</v>
      </c>
      <c r="H201" s="18">
        <v>515465.48</v>
      </c>
      <c r="I201" s="18">
        <v>11068.71</v>
      </c>
      <c r="J201" s="18"/>
      <c r="K201" s="18"/>
      <c r="L201" s="19">
        <f>SUM(F201:K201)</f>
        <v>2696617.01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392119.42</v>
      </c>
      <c r="G202" s="18">
        <v>319961.59999999998</v>
      </c>
      <c r="H202" s="18">
        <v>13161.62</v>
      </c>
      <c r="I202" s="18">
        <v>73901.919999999998</v>
      </c>
      <c r="J202" s="18">
        <v>8535.58</v>
      </c>
      <c r="K202" s="18">
        <v>246.5</v>
      </c>
      <c r="L202" s="19">
        <f t="shared" ref="L202:L207" si="0">SUM(F202:K202)</f>
        <v>807926.64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374598.48</v>
      </c>
      <c r="G203" s="18">
        <v>195449.26</v>
      </c>
      <c r="H203" s="18">
        <v>178496.52</v>
      </c>
      <c r="I203" s="18">
        <v>12925.45</v>
      </c>
      <c r="J203" s="18">
        <v>6026.61</v>
      </c>
      <c r="K203" s="18">
        <v>10384.56</v>
      </c>
      <c r="L203" s="19">
        <f t="shared" si="0"/>
        <v>777880.88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1025453.29-150000</f>
        <v>875453.29</v>
      </c>
      <c r="G204" s="18">
        <v>551041.53</v>
      </c>
      <c r="H204" s="18">
        <v>82589.2</v>
      </c>
      <c r="I204" s="18">
        <v>10173.16</v>
      </c>
      <c r="J204" s="18">
        <v>964.79</v>
      </c>
      <c r="K204" s="18">
        <v>7285.97</v>
      </c>
      <c r="L204" s="19">
        <f t="shared" si="0"/>
        <v>1527507.94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131044</v>
      </c>
      <c r="G205" s="18">
        <v>68373.08</v>
      </c>
      <c r="H205" s="18">
        <v>73258.350000000006</v>
      </c>
      <c r="I205" s="18"/>
      <c r="J205" s="18"/>
      <c r="K205" s="18">
        <v>3019.74</v>
      </c>
      <c r="L205" s="19">
        <f t="shared" si="0"/>
        <v>275695.17000000004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878205.63</v>
      </c>
      <c r="G206" s="18">
        <v>458209.66</v>
      </c>
      <c r="H206" s="18">
        <v>350042.24</v>
      </c>
      <c r="I206" s="18">
        <v>554685.37</v>
      </c>
      <c r="J206" s="18">
        <v>4630.58</v>
      </c>
      <c r="K206" s="18"/>
      <c r="L206" s="19">
        <f t="shared" si="0"/>
        <v>2245773.48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23086.2</v>
      </c>
      <c r="G207" s="18">
        <v>12045.38</v>
      </c>
      <c r="H207" s="18">
        <v>1294162.58</v>
      </c>
      <c r="I207" s="18"/>
      <c r="J207" s="18"/>
      <c r="K207" s="18"/>
      <c r="L207" s="19">
        <f t="shared" si="0"/>
        <v>1329294.1600000001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44820.5</v>
      </c>
      <c r="G208" s="18">
        <v>23385.4</v>
      </c>
      <c r="H208" s="18"/>
      <c r="I208" s="18"/>
      <c r="J208" s="18"/>
      <c r="K208" s="18"/>
      <c r="L208" s="19">
        <f>SUM(F208:K208)</f>
        <v>68205.899999999994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14820224.42</v>
      </c>
      <c r="G210" s="41">
        <f t="shared" si="1"/>
        <v>8046541.1699999999</v>
      </c>
      <c r="H210" s="41">
        <f t="shared" si="1"/>
        <v>3341096.4200000004</v>
      </c>
      <c r="I210" s="41">
        <f t="shared" si="1"/>
        <v>993287.8</v>
      </c>
      <c r="J210" s="41">
        <f t="shared" si="1"/>
        <v>49952.920000000006</v>
      </c>
      <c r="K210" s="41">
        <f t="shared" si="1"/>
        <v>20936.769999999997</v>
      </c>
      <c r="L210" s="41">
        <f t="shared" si="1"/>
        <v>27272039.5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2549098.14-100000</f>
        <v>2449098.14</v>
      </c>
      <c r="G214" s="18">
        <v>1238307.8</v>
      </c>
      <c r="H214" s="18">
        <v>16640.87</v>
      </c>
      <c r="I214" s="18">
        <v>49778.080000000002</v>
      </c>
      <c r="J214" s="18">
        <v>4075.41</v>
      </c>
      <c r="K214" s="18"/>
      <c r="L214" s="19">
        <f>SUM(F214:K214)</f>
        <v>3757900.3000000007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1106625.05</v>
      </c>
      <c r="G215" s="18">
        <v>537579.31999999995</v>
      </c>
      <c r="H215" s="18">
        <v>575688.76</v>
      </c>
      <c r="I215" s="18">
        <v>779.07</v>
      </c>
      <c r="J215" s="18"/>
      <c r="K215" s="18"/>
      <c r="L215" s="19">
        <f>SUM(F215:K215)</f>
        <v>2220672.1999999997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37315</v>
      </c>
      <c r="G217" s="18">
        <v>18126.98</v>
      </c>
      <c r="H217" s="18">
        <v>8520</v>
      </c>
      <c r="I217" s="18">
        <v>4592.51</v>
      </c>
      <c r="J217" s="18"/>
      <c r="K217" s="18"/>
      <c r="L217" s="19">
        <f>SUM(F217:K217)</f>
        <v>68554.489999999991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348590.74</v>
      </c>
      <c r="G219" s="18">
        <v>169339.35</v>
      </c>
      <c r="H219" s="18">
        <v>166807.56</v>
      </c>
      <c r="I219" s="18">
        <v>601.72</v>
      </c>
      <c r="J219" s="18"/>
      <c r="K219" s="18"/>
      <c r="L219" s="19">
        <f t="shared" ref="L219:L225" si="2">SUM(F219:K219)</f>
        <v>685339.36999999988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117635.83</v>
      </c>
      <c r="G220" s="18">
        <v>91756.65</v>
      </c>
      <c r="H220" s="18">
        <v>3948.49</v>
      </c>
      <c r="I220" s="18">
        <v>22170.58</v>
      </c>
      <c r="J220" s="18">
        <v>2560.67</v>
      </c>
      <c r="K220" s="18">
        <v>73.95</v>
      </c>
      <c r="L220" s="19">
        <f t="shared" si="2"/>
        <v>238146.17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112379.54</v>
      </c>
      <c r="G221" s="18">
        <v>54592.04</v>
      </c>
      <c r="H221" s="18">
        <v>53548.959999999999</v>
      </c>
      <c r="I221" s="18">
        <v>3877.64</v>
      </c>
      <c r="J221" s="18">
        <v>1807.98</v>
      </c>
      <c r="K221" s="18">
        <v>3115.37</v>
      </c>
      <c r="L221" s="19">
        <f t="shared" si="2"/>
        <v>229321.53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266091.39</v>
      </c>
      <c r="G222" s="18">
        <v>134063.92000000001</v>
      </c>
      <c r="H222" s="18">
        <v>28514.95</v>
      </c>
      <c r="I222" s="18">
        <v>5605.34</v>
      </c>
      <c r="J222" s="18"/>
      <c r="K222" s="18">
        <v>3359</v>
      </c>
      <c r="L222" s="19">
        <f t="shared" si="2"/>
        <v>437634.60000000009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47700.6</v>
      </c>
      <c r="G223" s="18">
        <v>23172.13</v>
      </c>
      <c r="H223" s="18">
        <v>21977.5</v>
      </c>
      <c r="I223" s="18"/>
      <c r="J223" s="18"/>
      <c r="K223" s="18">
        <v>905.93</v>
      </c>
      <c r="L223" s="19">
        <f t="shared" si="2"/>
        <v>93756.159999999989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282282.14</v>
      </c>
      <c r="G224" s="18">
        <v>137127.78</v>
      </c>
      <c r="H224" s="18">
        <v>105252.99</v>
      </c>
      <c r="I224" s="18">
        <v>212138.71</v>
      </c>
      <c r="J224" s="18">
        <v>1389.18</v>
      </c>
      <c r="K224" s="18"/>
      <c r="L224" s="19">
        <f t="shared" si="2"/>
        <v>738190.8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23086.2</v>
      </c>
      <c r="G225" s="18">
        <f>12045.38+100000</f>
        <v>112045.38</v>
      </c>
      <c r="H225" s="18">
        <f>1294162.58-225000-200000-200000</f>
        <v>669162.58000000007</v>
      </c>
      <c r="I225" s="18"/>
      <c r="J225" s="18"/>
      <c r="K225" s="18"/>
      <c r="L225" s="19">
        <f t="shared" si="2"/>
        <v>804294.16000000015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13446.15</v>
      </c>
      <c r="G226" s="18">
        <v>6531.91</v>
      </c>
      <c r="H226" s="18"/>
      <c r="I226" s="18"/>
      <c r="J226" s="18"/>
      <c r="K226" s="18"/>
      <c r="L226" s="19">
        <f>SUM(F226:K226)</f>
        <v>19978.059999999998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4804250.78</v>
      </c>
      <c r="G228" s="41">
        <f>SUM(G214:G227)</f>
        <v>2522643.2599999998</v>
      </c>
      <c r="H228" s="41">
        <f>SUM(H214:H227)</f>
        <v>1650062.66</v>
      </c>
      <c r="I228" s="41">
        <f>SUM(I214:I227)</f>
        <v>299543.65000000002</v>
      </c>
      <c r="J228" s="41">
        <f>SUM(J214:J227)</f>
        <v>9833.24</v>
      </c>
      <c r="K228" s="41">
        <f t="shared" si="3"/>
        <v>7454.25</v>
      </c>
      <c r="L228" s="41">
        <f t="shared" si="3"/>
        <v>9293787.8400000017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5489431.29-64681.93</f>
        <v>5424749.3600000003</v>
      </c>
      <c r="G232" s="18">
        <v>3029602.5</v>
      </c>
      <c r="H232" s="18">
        <v>90718.15</v>
      </c>
      <c r="I232" s="18">
        <v>243180.69</v>
      </c>
      <c r="J232" s="18">
        <v>67231.66</v>
      </c>
      <c r="K232" s="18"/>
      <c r="L232" s="19">
        <f>SUM(F232:K232)</f>
        <v>8855482.3599999994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1929648.44</v>
      </c>
      <c r="G233" s="18">
        <v>1064967.83</v>
      </c>
      <c r="H233" s="18">
        <v>2890745.82</v>
      </c>
      <c r="I233" s="18">
        <v>1817.84</v>
      </c>
      <c r="J233" s="18"/>
      <c r="K233" s="18"/>
      <c r="L233" s="19">
        <f>SUM(F233:K233)</f>
        <v>5887179.9299999997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58818.78</v>
      </c>
      <c r="I234" s="18"/>
      <c r="J234" s="18"/>
      <c r="K234" s="18"/>
      <c r="L234" s="19">
        <f>SUM(F234:K234)</f>
        <v>58818.78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331400.38</v>
      </c>
      <c r="G235" s="18">
        <v>182898.99</v>
      </c>
      <c r="H235" s="18">
        <v>70719.34</v>
      </c>
      <c r="I235" s="18">
        <v>63319.59</v>
      </c>
      <c r="J235" s="18"/>
      <c r="K235" s="18">
        <v>14877.08</v>
      </c>
      <c r="L235" s="19">
        <f>SUM(F235:K235)</f>
        <v>663215.37999999989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589672.49</v>
      </c>
      <c r="G237" s="18">
        <v>325438.68</v>
      </c>
      <c r="H237" s="18">
        <v>191360.52</v>
      </c>
      <c r="I237" s="18">
        <v>5047.3900000000003</v>
      </c>
      <c r="J237" s="18"/>
      <c r="K237" s="18"/>
      <c r="L237" s="19">
        <f t="shared" ref="L237:L243" si="4">SUM(F237:K237)</f>
        <v>1111519.0799999998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274483.59000000003</v>
      </c>
      <c r="G238" s="18">
        <v>232246.23</v>
      </c>
      <c r="H238" s="18">
        <v>9213.1299999999992</v>
      </c>
      <c r="I238" s="18">
        <v>51731.35</v>
      </c>
      <c r="J238" s="18">
        <v>5974.9</v>
      </c>
      <c r="K238" s="18">
        <v>172.55</v>
      </c>
      <c r="L238" s="19">
        <f t="shared" si="4"/>
        <v>573821.75000000012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262218.94</v>
      </c>
      <c r="G239" s="18">
        <v>144717.93</v>
      </c>
      <c r="H239" s="18">
        <v>124947.56</v>
      </c>
      <c r="I239" s="18">
        <v>9047.82</v>
      </c>
      <c r="J239" s="18">
        <v>4218.63</v>
      </c>
      <c r="K239" s="18">
        <v>7269.19</v>
      </c>
      <c r="L239" s="19">
        <f t="shared" si="4"/>
        <v>552420.06999999983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547847.82999999996</v>
      </c>
      <c r="G240" s="18">
        <v>313558.84999999998</v>
      </c>
      <c r="H240" s="18">
        <v>50423.44</v>
      </c>
      <c r="I240" s="18">
        <v>10122.049999999999</v>
      </c>
      <c r="J240" s="18"/>
      <c r="K240" s="18">
        <v>37454.65</v>
      </c>
      <c r="L240" s="19">
        <f t="shared" si="4"/>
        <v>959406.82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107307.4</v>
      </c>
      <c r="G241" s="18">
        <v>59222.67</v>
      </c>
      <c r="H241" s="18">
        <v>51280.84</v>
      </c>
      <c r="I241" s="4"/>
      <c r="J241" s="18"/>
      <c r="K241" s="18">
        <v>2113.83</v>
      </c>
      <c r="L241" s="19">
        <f>SUM(F241:K241)</f>
        <v>219924.74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459670.41</v>
      </c>
      <c r="G242" s="18">
        <v>253690.87</v>
      </c>
      <c r="H242" s="18">
        <v>253536.94</v>
      </c>
      <c r="I242" s="18">
        <v>406275.58</v>
      </c>
      <c r="J242" s="18">
        <v>3241.41</v>
      </c>
      <c r="K242" s="18"/>
      <c r="L242" s="19">
        <f t="shared" si="4"/>
        <v>1376415.21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16160.34</v>
      </c>
      <c r="G243" s="18">
        <f>8918.85+125000</f>
        <v>133918.85</v>
      </c>
      <c r="H243" s="18">
        <f>1255744.44-300000-291211.4+514681.93</f>
        <v>1179214.97</v>
      </c>
      <c r="I243" s="18"/>
      <c r="J243" s="18"/>
      <c r="K243" s="18"/>
      <c r="L243" s="19">
        <f t="shared" si="4"/>
        <v>1329294.1599999999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31374.35</v>
      </c>
      <c r="G244" s="18">
        <v>17315.419999999998</v>
      </c>
      <c r="H244" s="18"/>
      <c r="I244" s="18"/>
      <c r="J244" s="18"/>
      <c r="K244" s="18"/>
      <c r="L244" s="19">
        <f>SUM(F244:K244)</f>
        <v>48689.77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9974533.5300000012</v>
      </c>
      <c r="G246" s="41">
        <f t="shared" si="5"/>
        <v>5757578.8199999994</v>
      </c>
      <c r="H246" s="41">
        <f t="shared" si="5"/>
        <v>4970979.4899999993</v>
      </c>
      <c r="I246" s="41">
        <f t="shared" si="5"/>
        <v>790542.31</v>
      </c>
      <c r="J246" s="41">
        <f t="shared" si="5"/>
        <v>80666.600000000006</v>
      </c>
      <c r="K246" s="41">
        <f t="shared" si="5"/>
        <v>61887.3</v>
      </c>
      <c r="L246" s="41">
        <f t="shared" si="5"/>
        <v>21636188.050000001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14752</v>
      </c>
      <c r="G250" s="18">
        <v>10000</v>
      </c>
      <c r="H250" s="18"/>
      <c r="I250" s="18">
        <v>627.98</v>
      </c>
      <c r="J250" s="18"/>
      <c r="K250" s="18"/>
      <c r="L250" s="19">
        <f t="shared" si="6"/>
        <v>25379.98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806109.35</v>
      </c>
      <c r="I254" s="18"/>
      <c r="J254" s="18"/>
      <c r="K254" s="18"/>
      <c r="L254" s="19">
        <f t="shared" si="6"/>
        <v>806109.35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14752</v>
      </c>
      <c r="G255" s="41">
        <f t="shared" si="7"/>
        <v>10000</v>
      </c>
      <c r="H255" s="41">
        <f t="shared" si="7"/>
        <v>806109.35</v>
      </c>
      <c r="I255" s="41">
        <f t="shared" si="7"/>
        <v>627.98</v>
      </c>
      <c r="J255" s="41">
        <f t="shared" si="7"/>
        <v>0</v>
      </c>
      <c r="K255" s="41">
        <f t="shared" si="7"/>
        <v>0</v>
      </c>
      <c r="L255" s="41">
        <f>SUM(F255:K255)</f>
        <v>831489.33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29613760.73</v>
      </c>
      <c r="G256" s="41">
        <f t="shared" si="8"/>
        <v>16336763.25</v>
      </c>
      <c r="H256" s="41">
        <f t="shared" si="8"/>
        <v>10768247.92</v>
      </c>
      <c r="I256" s="41">
        <f t="shared" si="8"/>
        <v>2084001.7400000002</v>
      </c>
      <c r="J256" s="41">
        <f t="shared" si="8"/>
        <v>140452.76</v>
      </c>
      <c r="K256" s="41">
        <f t="shared" si="8"/>
        <v>90278.32</v>
      </c>
      <c r="L256" s="41">
        <f t="shared" si="8"/>
        <v>59033504.719999999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1385000</v>
      </c>
      <c r="L259" s="19">
        <f>SUM(F259:K259)</f>
        <v>1385000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585009.75</v>
      </c>
      <c r="L260" s="19">
        <f>SUM(F260:K260)</f>
        <v>585009.75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1970009.75</v>
      </c>
      <c r="L269" s="41">
        <f t="shared" si="9"/>
        <v>1970009.75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29613760.73</v>
      </c>
      <c r="G270" s="42">
        <f t="shared" si="11"/>
        <v>16336763.25</v>
      </c>
      <c r="H270" s="42">
        <f t="shared" si="11"/>
        <v>10768247.92</v>
      </c>
      <c r="I270" s="42">
        <f t="shared" si="11"/>
        <v>2084001.7400000002</v>
      </c>
      <c r="J270" s="42">
        <f t="shared" si="11"/>
        <v>140452.76</v>
      </c>
      <c r="K270" s="42">
        <f t="shared" si="11"/>
        <v>2060288.07</v>
      </c>
      <c r="L270" s="42">
        <f t="shared" si="11"/>
        <v>61003514.469999999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70565</v>
      </c>
      <c r="G275" s="18">
        <v>213.34</v>
      </c>
      <c r="H275" s="18">
        <v>960</v>
      </c>
      <c r="I275" s="18">
        <v>4492.21</v>
      </c>
      <c r="J275" s="18">
        <v>16028.55</v>
      </c>
      <c r="K275" s="18"/>
      <c r="L275" s="19">
        <f>SUM(F275:K275)</f>
        <v>92259.1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67403.199999999997</v>
      </c>
      <c r="G276" s="18">
        <v>20000</v>
      </c>
      <c r="H276" s="18">
        <v>6904.44</v>
      </c>
      <c r="I276" s="18">
        <v>39550.410000000003</v>
      </c>
      <c r="J276" s="18">
        <v>119549.19</v>
      </c>
      <c r="K276" s="18"/>
      <c r="L276" s="19">
        <f>SUM(F276:K276)</f>
        <v>253407.24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v>236.64</v>
      </c>
      <c r="I278" s="18"/>
      <c r="J278" s="18"/>
      <c r="K278" s="18"/>
      <c r="L278" s="19">
        <f>SUM(F278:K278)</f>
        <v>236.64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24459.360000000001</v>
      </c>
      <c r="G280" s="18">
        <v>87.05</v>
      </c>
      <c r="H280" s="18">
        <v>271657.56</v>
      </c>
      <c r="I280" s="18">
        <v>2234.6799999999998</v>
      </c>
      <c r="J280" s="18">
        <v>2357.52</v>
      </c>
      <c r="K280" s="18"/>
      <c r="L280" s="19">
        <f t="shared" ref="L280:L286" si="12">SUM(F280:K280)</f>
        <v>300796.17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21317.33</v>
      </c>
      <c r="G281" s="18">
        <v>3472.49</v>
      </c>
      <c r="H281" s="18">
        <v>53634.13</v>
      </c>
      <c r="I281" s="18">
        <v>5850.52</v>
      </c>
      <c r="J281" s="18">
        <v>4466.4799999999996</v>
      </c>
      <c r="K281" s="18"/>
      <c r="L281" s="19">
        <f t="shared" si="12"/>
        <v>88740.95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>
        <v>249.59</v>
      </c>
      <c r="K282" s="18"/>
      <c r="L282" s="19">
        <f t="shared" si="12"/>
        <v>249.59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31922.720000000001</v>
      </c>
      <c r="G285" s="18">
        <v>16731.8</v>
      </c>
      <c r="H285" s="18">
        <v>6812.66</v>
      </c>
      <c r="I285" s="18">
        <v>550.29999999999995</v>
      </c>
      <c r="J285" s="18"/>
      <c r="K285" s="18"/>
      <c r="L285" s="19">
        <f t="shared" si="12"/>
        <v>56017.48000000001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v>212.66</v>
      </c>
      <c r="J287" s="18">
        <v>707.61</v>
      </c>
      <c r="K287" s="18">
        <v>12277.24</v>
      </c>
      <c r="L287" s="19">
        <f>SUM(F287:K287)</f>
        <v>13197.51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215667.61000000002</v>
      </c>
      <c r="G289" s="42">
        <f t="shared" si="13"/>
        <v>40504.679999999993</v>
      </c>
      <c r="H289" s="42">
        <f t="shared" si="13"/>
        <v>340205.43</v>
      </c>
      <c r="I289" s="42">
        <f t="shared" si="13"/>
        <v>52890.780000000013</v>
      </c>
      <c r="J289" s="42">
        <f t="shared" si="13"/>
        <v>143358.93999999997</v>
      </c>
      <c r="K289" s="42">
        <f t="shared" si="13"/>
        <v>12277.24</v>
      </c>
      <c r="L289" s="41">
        <f t="shared" si="13"/>
        <v>804904.67999999982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23521.66</v>
      </c>
      <c r="G294" s="18">
        <v>71.11</v>
      </c>
      <c r="H294" s="18">
        <v>320</v>
      </c>
      <c r="I294" s="18">
        <v>1420.73</v>
      </c>
      <c r="J294" s="18">
        <v>5342.85</v>
      </c>
      <c r="K294" s="18"/>
      <c r="L294" s="19">
        <f>SUM(F294:K294)</f>
        <v>30676.35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19134.400000000001</v>
      </c>
      <c r="G295" s="18">
        <v>10000</v>
      </c>
      <c r="H295" s="18">
        <v>2301.48</v>
      </c>
      <c r="I295" s="18">
        <v>13183.47</v>
      </c>
      <c r="J295" s="18">
        <v>39849.730000000003</v>
      </c>
      <c r="K295" s="18"/>
      <c r="L295" s="19">
        <f>SUM(F295:K295)</f>
        <v>84469.08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>
        <v>78.88</v>
      </c>
      <c r="I297" s="18"/>
      <c r="J297" s="18"/>
      <c r="K297" s="18"/>
      <c r="L297" s="19">
        <f>SUM(F297:K297)</f>
        <v>78.88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8153.12</v>
      </c>
      <c r="G299" s="18">
        <v>29.02</v>
      </c>
      <c r="H299" s="18">
        <v>90552.52</v>
      </c>
      <c r="I299" s="18">
        <v>744.89</v>
      </c>
      <c r="J299" s="18">
        <v>785.84</v>
      </c>
      <c r="K299" s="18"/>
      <c r="L299" s="19">
        <f t="shared" ref="L299:L305" si="14">SUM(F299:K299)</f>
        <v>100265.39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7105.77</v>
      </c>
      <c r="G300" s="18">
        <v>1157.49</v>
      </c>
      <c r="H300" s="18">
        <v>17878.04</v>
      </c>
      <c r="I300" s="18">
        <v>1950.17</v>
      </c>
      <c r="J300" s="18">
        <v>1488.82</v>
      </c>
      <c r="K300" s="18"/>
      <c r="L300" s="19">
        <f t="shared" si="14"/>
        <v>29580.29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>
        <v>83.2</v>
      </c>
      <c r="K301" s="18"/>
      <c r="L301" s="19">
        <f t="shared" si="14"/>
        <v>83.2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10640.91</v>
      </c>
      <c r="G304" s="18">
        <v>5577.26</v>
      </c>
      <c r="H304" s="18">
        <v>2270.89</v>
      </c>
      <c r="I304" s="18">
        <v>183.43</v>
      </c>
      <c r="J304" s="18"/>
      <c r="K304" s="18"/>
      <c r="L304" s="19">
        <f t="shared" si="14"/>
        <v>18672.490000000002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>
        <v>70.88</v>
      </c>
      <c r="J306" s="18">
        <v>235.87</v>
      </c>
      <c r="K306" s="18">
        <v>3683.17</v>
      </c>
      <c r="L306" s="19">
        <f>SUM(F306:K306)</f>
        <v>3989.92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68555.86</v>
      </c>
      <c r="G308" s="42">
        <f t="shared" si="15"/>
        <v>16834.88</v>
      </c>
      <c r="H308" s="42">
        <f t="shared" si="15"/>
        <v>113401.81000000001</v>
      </c>
      <c r="I308" s="42">
        <f t="shared" si="15"/>
        <v>17553.57</v>
      </c>
      <c r="J308" s="42">
        <f t="shared" si="15"/>
        <v>47786.31</v>
      </c>
      <c r="K308" s="42">
        <f t="shared" si="15"/>
        <v>3683.17</v>
      </c>
      <c r="L308" s="41">
        <f t="shared" si="15"/>
        <v>267815.60000000003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52923.74</v>
      </c>
      <c r="G313" s="18">
        <v>160</v>
      </c>
      <c r="H313" s="18">
        <v>720</v>
      </c>
      <c r="I313" s="18">
        <v>3196.65</v>
      </c>
      <c r="J313" s="18">
        <v>12021.42</v>
      </c>
      <c r="K313" s="18"/>
      <c r="L313" s="19">
        <f>SUM(F313:K313)</f>
        <v>69021.81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45552.4</v>
      </c>
      <c r="G314" s="18">
        <v>20000</v>
      </c>
      <c r="H314" s="18">
        <v>5178.33</v>
      </c>
      <c r="I314" s="18">
        <v>29662.799999999999</v>
      </c>
      <c r="J314" s="18">
        <v>89661.9</v>
      </c>
      <c r="K314" s="18"/>
      <c r="L314" s="19">
        <f>SUM(F314:K314)</f>
        <v>190055.43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>
        <v>177.48</v>
      </c>
      <c r="I316" s="18"/>
      <c r="J316" s="18"/>
      <c r="K316" s="18"/>
      <c r="L316" s="19">
        <f>SUM(F316:K316)</f>
        <v>177.48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18344.52</v>
      </c>
      <c r="G318" s="18">
        <v>65.290000000000006</v>
      </c>
      <c r="H318" s="18">
        <v>203743.17</v>
      </c>
      <c r="I318" s="18">
        <v>1676.01</v>
      </c>
      <c r="J318" s="18">
        <v>1768.14</v>
      </c>
      <c r="K318" s="18"/>
      <c r="L318" s="19">
        <f t="shared" ref="L318:L324" si="16">SUM(F318:K318)</f>
        <v>225597.13000000003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15987.99</v>
      </c>
      <c r="G319" s="18">
        <v>2604.36</v>
      </c>
      <c r="H319" s="18">
        <v>40225.599999999999</v>
      </c>
      <c r="I319" s="18">
        <v>4387.8900000000003</v>
      </c>
      <c r="J319" s="18">
        <v>3349.85</v>
      </c>
      <c r="K319" s="18"/>
      <c r="L319" s="19">
        <f t="shared" si="16"/>
        <v>66555.69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>
        <f>187.2+86.36</f>
        <v>273.56</v>
      </c>
      <c r="K320" s="18"/>
      <c r="L320" s="19">
        <f t="shared" si="16"/>
        <v>273.56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23942.04</v>
      </c>
      <c r="G323" s="18">
        <v>12548.84</v>
      </c>
      <c r="H323" s="18">
        <v>5109.49</v>
      </c>
      <c r="I323" s="18">
        <v>412.72</v>
      </c>
      <c r="J323" s="18"/>
      <c r="K323" s="18"/>
      <c r="L323" s="19">
        <f t="shared" si="16"/>
        <v>42013.090000000004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>
        <v>159.49</v>
      </c>
      <c r="J325" s="18">
        <v>530.70000000000005</v>
      </c>
      <c r="K325" s="18">
        <v>8594.07</v>
      </c>
      <c r="L325" s="19">
        <f>SUM(F325:K325)</f>
        <v>9284.26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156750.69</v>
      </c>
      <c r="G327" s="42">
        <f t="shared" si="17"/>
        <v>35378.490000000005</v>
      </c>
      <c r="H327" s="42">
        <f t="shared" si="17"/>
        <v>255154.07</v>
      </c>
      <c r="I327" s="42">
        <f t="shared" si="17"/>
        <v>39495.56</v>
      </c>
      <c r="J327" s="42">
        <f t="shared" si="17"/>
        <v>107605.56999999999</v>
      </c>
      <c r="K327" s="42">
        <f t="shared" si="17"/>
        <v>8594.07</v>
      </c>
      <c r="L327" s="41">
        <f t="shared" si="17"/>
        <v>602978.45000000007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440974.16000000003</v>
      </c>
      <c r="G337" s="41">
        <f t="shared" si="20"/>
        <v>92718.05</v>
      </c>
      <c r="H337" s="41">
        <f t="shared" si="20"/>
        <v>708761.31</v>
      </c>
      <c r="I337" s="41">
        <f t="shared" si="20"/>
        <v>109939.91</v>
      </c>
      <c r="J337" s="41">
        <f t="shared" si="20"/>
        <v>298750.81999999995</v>
      </c>
      <c r="K337" s="41">
        <f t="shared" si="20"/>
        <v>24554.48</v>
      </c>
      <c r="L337" s="41">
        <f t="shared" si="20"/>
        <v>1675698.73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440974.16000000003</v>
      </c>
      <c r="G351" s="41">
        <f>G337</f>
        <v>92718.05</v>
      </c>
      <c r="H351" s="41">
        <f>H337</f>
        <v>708761.31</v>
      </c>
      <c r="I351" s="41">
        <f>I337</f>
        <v>109939.91</v>
      </c>
      <c r="J351" s="41">
        <f>J337</f>
        <v>298750.81999999995</v>
      </c>
      <c r="K351" s="47">
        <f>K337+K350</f>
        <v>24554.48</v>
      </c>
      <c r="L351" s="41">
        <f>L337+L350</f>
        <v>1675698.73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242267.5-20000</f>
        <v>222267.5</v>
      </c>
      <c r="G357" s="18">
        <v>20000</v>
      </c>
      <c r="H357" s="18">
        <v>13994.15</v>
      </c>
      <c r="I357" s="18">
        <v>351279.21</v>
      </c>
      <c r="J357" s="18">
        <v>2778.58</v>
      </c>
      <c r="K357" s="18"/>
      <c r="L357" s="13">
        <f>SUM(F357:K357)</f>
        <v>610319.43999999994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109782.77-10000</f>
        <v>99782.77</v>
      </c>
      <c r="G358" s="18">
        <v>10000</v>
      </c>
      <c r="H358" s="18">
        <v>4198.25</v>
      </c>
      <c r="I358" s="18">
        <v>105383.76</v>
      </c>
      <c r="J358" s="18">
        <v>833.56</v>
      </c>
      <c r="K358" s="18"/>
      <c r="L358" s="19">
        <f>SUM(F358:K358)</f>
        <v>220198.34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210573.12-20000</f>
        <v>190573.12</v>
      </c>
      <c r="G359" s="18">
        <v>20000</v>
      </c>
      <c r="H359" s="18">
        <v>9795.91</v>
      </c>
      <c r="I359" s="18">
        <v>245895.45</v>
      </c>
      <c r="J359" s="18">
        <v>1945</v>
      </c>
      <c r="K359" s="18"/>
      <c r="L359" s="19">
        <f>SUM(F359:K359)</f>
        <v>468209.48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512623.39</v>
      </c>
      <c r="G361" s="47">
        <f t="shared" si="22"/>
        <v>50000</v>
      </c>
      <c r="H361" s="47">
        <f t="shared" si="22"/>
        <v>27988.31</v>
      </c>
      <c r="I361" s="47">
        <f t="shared" si="22"/>
        <v>702558.42</v>
      </c>
      <c r="J361" s="47">
        <f t="shared" si="22"/>
        <v>5557.1399999999994</v>
      </c>
      <c r="K361" s="47">
        <f t="shared" si="22"/>
        <v>0</v>
      </c>
      <c r="L361" s="47">
        <f t="shared" si="22"/>
        <v>1298727.2599999998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324283.39</v>
      </c>
      <c r="G366" s="18">
        <v>97285.02</v>
      </c>
      <c r="H366" s="18">
        <v>226998.36</v>
      </c>
      <c r="I366" s="56">
        <f>SUM(F366:H366)</f>
        <v>648566.77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26995.83</v>
      </c>
      <c r="G367" s="63">
        <v>8098.75</v>
      </c>
      <c r="H367" s="63">
        <v>18897.07</v>
      </c>
      <c r="I367" s="56">
        <f>SUM(F367:H367)</f>
        <v>53991.65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351279.22000000003</v>
      </c>
      <c r="G368" s="47">
        <f>SUM(G366:G367)</f>
        <v>105383.77</v>
      </c>
      <c r="H368" s="47">
        <f>SUM(H366:H367)</f>
        <v>245895.43</v>
      </c>
      <c r="I368" s="47">
        <f>SUM(I366:I367)</f>
        <v>702558.42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7400</v>
      </c>
      <c r="I396" s="18"/>
      <c r="J396" s="24" t="s">
        <v>289</v>
      </c>
      <c r="K396" s="24" t="s">
        <v>289</v>
      </c>
      <c r="L396" s="56">
        <f t="shared" si="26"/>
        <v>7400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7400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7400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>
        <v>9800</v>
      </c>
      <c r="J402" s="24" t="s">
        <v>289</v>
      </c>
      <c r="K402" s="24" t="s">
        <v>289</v>
      </c>
      <c r="L402" s="56">
        <f>SUM(F402:K402)</f>
        <v>9800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9800</v>
      </c>
      <c r="J406" s="49" t="s">
        <v>289</v>
      </c>
      <c r="K406" s="49" t="s">
        <v>289</v>
      </c>
      <c r="L406" s="47">
        <f>SUM(L402:L405)</f>
        <v>9800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7400</v>
      </c>
      <c r="I407" s="47">
        <f>I392+I400+I406</f>
        <v>9800</v>
      </c>
      <c r="J407" s="24" t="s">
        <v>289</v>
      </c>
      <c r="K407" s="24" t="s">
        <v>289</v>
      </c>
      <c r="L407" s="47">
        <f>L392+L400+L406</f>
        <v>17200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260000</v>
      </c>
      <c r="I414" s="18"/>
      <c r="J414" s="18"/>
      <c r="K414" s="18"/>
      <c r="L414" s="56">
        <f t="shared" si="27"/>
        <v>260000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260000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260000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137876.9</v>
      </c>
      <c r="I422" s="18"/>
      <c r="J422" s="18"/>
      <c r="K422" s="18"/>
      <c r="L422" s="56">
        <f t="shared" si="29"/>
        <v>137876.9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137876.9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137876.9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397876.9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397876.9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921299.97</v>
      </c>
      <c r="G439" s="18"/>
      <c r="H439" s="18"/>
      <c r="I439" s="56">
        <f t="shared" si="33"/>
        <v>921299.97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921299.97</v>
      </c>
      <c r="G445" s="13">
        <f>SUM(G438:G444)</f>
        <v>0</v>
      </c>
      <c r="H445" s="13">
        <f>SUM(H438:H444)</f>
        <v>0</v>
      </c>
      <c r="I445" s="13">
        <f>SUM(I438:I444)</f>
        <v>921299.97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921299.97</v>
      </c>
      <c r="G458" s="18"/>
      <c r="H458" s="18"/>
      <c r="I458" s="56">
        <f t="shared" si="34"/>
        <v>921299.97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921299.97</v>
      </c>
      <c r="G459" s="83">
        <f>SUM(G453:G458)</f>
        <v>0</v>
      </c>
      <c r="H459" s="83">
        <f>SUM(H453:H458)</f>
        <v>0</v>
      </c>
      <c r="I459" s="83">
        <f>SUM(I453:I458)</f>
        <v>921299.97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921299.97</v>
      </c>
      <c r="G460" s="42">
        <f>G451+G459</f>
        <v>0</v>
      </c>
      <c r="H460" s="42">
        <f>H451+H459</f>
        <v>0</v>
      </c>
      <c r="I460" s="42">
        <f>I451+I459</f>
        <v>921299.97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2092700.21</v>
      </c>
      <c r="G464" s="18">
        <v>113486.83</v>
      </c>
      <c r="H464" s="18">
        <v>108833.63</v>
      </c>
      <c r="I464" s="18"/>
      <c r="J464" s="18">
        <v>1301976.8700000001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60914000.109999999</v>
      </c>
      <c r="G467" s="18">
        <v>1343269.47</v>
      </c>
      <c r="H467" s="18">
        <v>1702429.74</v>
      </c>
      <c r="I467" s="18"/>
      <c r="J467" s="18">
        <f>7400+9800</f>
        <v>17200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60914000.109999999</v>
      </c>
      <c r="G469" s="53">
        <f>SUM(G467:G468)</f>
        <v>1343269.47</v>
      </c>
      <c r="H469" s="53">
        <f>SUM(H467:H468)</f>
        <v>1702429.74</v>
      </c>
      <c r="I469" s="53">
        <f>SUM(I467:I468)</f>
        <v>0</v>
      </c>
      <c r="J469" s="53">
        <f>SUM(J467:J468)</f>
        <v>17200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61003514.469999999</v>
      </c>
      <c r="G471" s="18">
        <v>1298727.26</v>
      </c>
      <c r="H471" s="18">
        <v>1675698.73</v>
      </c>
      <c r="I471" s="18"/>
      <c r="J471" s="18">
        <v>397876.9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61003514.469999999</v>
      </c>
      <c r="G473" s="53">
        <f>SUM(G471:G472)</f>
        <v>1298727.26</v>
      </c>
      <c r="H473" s="53">
        <f>SUM(H471:H472)</f>
        <v>1675698.73</v>
      </c>
      <c r="I473" s="53">
        <f>SUM(I471:I472)</f>
        <v>0</v>
      </c>
      <c r="J473" s="53">
        <f>SUM(J471:J472)</f>
        <v>397876.9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2003185.8500000015</v>
      </c>
      <c r="G475" s="53">
        <f>(G464+G469)- G473</f>
        <v>158029.04000000004</v>
      </c>
      <c r="H475" s="53">
        <f>(H464+H469)- H473</f>
        <v>135564.64000000013</v>
      </c>
      <c r="I475" s="53">
        <f>(I464+I469)- I473</f>
        <v>0</v>
      </c>
      <c r="J475" s="53">
        <f>(J464+J469)- J473</f>
        <v>921299.97000000009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20</v>
      </c>
      <c r="H489" s="154">
        <v>20</v>
      </c>
      <c r="I489" s="154">
        <v>12</v>
      </c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 t="s">
        <v>912</v>
      </c>
      <c r="I490" s="155" t="s">
        <v>913</v>
      </c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 t="s">
        <v>915</v>
      </c>
      <c r="H491" s="155" t="s">
        <v>916</v>
      </c>
      <c r="I491" s="155" t="s">
        <v>917</v>
      </c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4737447</v>
      </c>
      <c r="G492" s="18">
        <v>5915851</v>
      </c>
      <c r="H492" s="18">
        <v>15525000</v>
      </c>
      <c r="I492" s="18">
        <v>3675816</v>
      </c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5.6</v>
      </c>
      <c r="G493" s="18">
        <v>5.31</v>
      </c>
      <c r="H493" s="18">
        <v>3.52</v>
      </c>
      <c r="I493" s="18">
        <v>4.4800000000000004</v>
      </c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315000</v>
      </c>
      <c r="G494" s="18">
        <f>3245000-295000</f>
        <v>2950000</v>
      </c>
      <c r="H494" s="18">
        <f>10850000-775000</f>
        <v>10075000</v>
      </c>
      <c r="I494" s="18">
        <f>3147282.72-201903.98</f>
        <v>2945378.74</v>
      </c>
      <c r="J494" s="18"/>
      <c r="K494" s="53">
        <f>SUM(F494:J494)</f>
        <v>16285378.74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315000</v>
      </c>
      <c r="G496" s="18">
        <v>295000</v>
      </c>
      <c r="H496" s="18">
        <v>775000</v>
      </c>
      <c r="I496" s="18">
        <v>201903.98</v>
      </c>
      <c r="J496" s="18"/>
      <c r="K496" s="53">
        <f t="shared" si="35"/>
        <v>1586903.98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>
        <f>2950000-295000</f>
        <v>2655000</v>
      </c>
      <c r="H497" s="205">
        <f>10075000-775000</f>
        <v>9300000</v>
      </c>
      <c r="I497" s="205">
        <f>2945378.74-201903.98</f>
        <v>2743474.7600000002</v>
      </c>
      <c r="J497" s="205"/>
      <c r="K497" s="206">
        <f t="shared" si="35"/>
        <v>14698474.76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f>711982.5-134668</f>
        <v>577314.5</v>
      </c>
      <c r="H498" s="18">
        <f>2964375-406875</f>
        <v>2557500</v>
      </c>
      <c r="I498" s="18">
        <f>735454.91-122054.17</f>
        <v>613400.74</v>
      </c>
      <c r="J498" s="18"/>
      <c r="K498" s="53">
        <f t="shared" si="35"/>
        <v>3748215.24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3232314.5</v>
      </c>
      <c r="H499" s="42">
        <f>SUM(H497:H498)</f>
        <v>11857500</v>
      </c>
      <c r="I499" s="42">
        <f>SUM(I497:I498)</f>
        <v>3356875.5</v>
      </c>
      <c r="J499" s="42">
        <f>SUM(J497:J498)</f>
        <v>0</v>
      </c>
      <c r="K499" s="42">
        <f t="shared" si="35"/>
        <v>18446690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>
        <v>295000</v>
      </c>
      <c r="H500" s="205">
        <v>775000</v>
      </c>
      <c r="I500" s="205">
        <v>245382.58</v>
      </c>
      <c r="J500" s="205"/>
      <c r="K500" s="206">
        <f t="shared" si="35"/>
        <v>1315382.58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134668</v>
      </c>
      <c r="H501" s="18">
        <v>406875</v>
      </c>
      <c r="I501" s="18">
        <v>122054.17</v>
      </c>
      <c r="J501" s="18"/>
      <c r="K501" s="53">
        <f t="shared" si="35"/>
        <v>663597.17000000004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429668</v>
      </c>
      <c r="H502" s="42">
        <f>SUM(H500:H501)</f>
        <v>1181875</v>
      </c>
      <c r="I502" s="42">
        <f>SUM(I500:I501)</f>
        <v>367436.75</v>
      </c>
      <c r="J502" s="42">
        <f>SUM(J500:J501)</f>
        <v>0</v>
      </c>
      <c r="K502" s="42">
        <f t="shared" si="35"/>
        <v>1978979.75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3916176.04</v>
      </c>
      <c r="G520" s="18">
        <v>1997687.84</v>
      </c>
      <c r="H520" s="18">
        <v>778588.86</v>
      </c>
      <c r="I520" s="18">
        <v>56983.090000000004</v>
      </c>
      <c r="J520" s="18">
        <v>119549.19</v>
      </c>
      <c r="K520" s="18"/>
      <c r="L520" s="88">
        <f>SUM(F520:K520)</f>
        <v>6868985.0200000005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1135759.45</v>
      </c>
      <c r="G521" s="18">
        <v>537579.31999999995</v>
      </c>
      <c r="H521" s="18">
        <v>577990.24</v>
      </c>
      <c r="I521" s="18">
        <v>13962.539999999999</v>
      </c>
      <c r="J521" s="18">
        <v>39849.730000000003</v>
      </c>
      <c r="K521" s="18"/>
      <c r="L521" s="88">
        <f>SUM(F521:K521)</f>
        <v>2305141.2799999998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1995200.8399999999</v>
      </c>
      <c r="G522" s="18">
        <v>1064967.83</v>
      </c>
      <c r="H522" s="18">
        <v>2895924.15</v>
      </c>
      <c r="I522" s="18">
        <v>31480.639999999999</v>
      </c>
      <c r="J522" s="18">
        <v>89661.9</v>
      </c>
      <c r="K522" s="18"/>
      <c r="L522" s="88">
        <f>SUM(F522:K522)</f>
        <v>6077235.3600000003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7047136.3300000001</v>
      </c>
      <c r="G523" s="108">
        <f t="shared" ref="G523:L523" si="36">SUM(G520:G522)</f>
        <v>3600234.99</v>
      </c>
      <c r="H523" s="108">
        <f t="shared" si="36"/>
        <v>4252503.25</v>
      </c>
      <c r="I523" s="108">
        <f t="shared" si="36"/>
        <v>102426.27</v>
      </c>
      <c r="J523" s="108">
        <f t="shared" si="36"/>
        <v>249060.82</v>
      </c>
      <c r="K523" s="108">
        <f t="shared" si="36"/>
        <v>0</v>
      </c>
      <c r="L523" s="89">
        <f t="shared" si="36"/>
        <v>15251361.66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1029563.32</v>
      </c>
      <c r="G525" s="18">
        <v>76852.23</v>
      </c>
      <c r="H525" s="18">
        <v>457963.32</v>
      </c>
      <c r="I525" s="18">
        <v>4201.3</v>
      </c>
      <c r="J525" s="18"/>
      <c r="K525" s="18"/>
      <c r="L525" s="88">
        <f>SUM(F525:K525)</f>
        <v>1568580.1700000002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164523.32</v>
      </c>
      <c r="G526" s="18">
        <v>14596.36</v>
      </c>
      <c r="H526" s="18">
        <v>22655.39</v>
      </c>
      <c r="I526" s="18"/>
      <c r="J526" s="18"/>
      <c r="K526" s="18"/>
      <c r="L526" s="88">
        <f>SUM(F526:K526)</f>
        <v>201775.07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83338.19</v>
      </c>
      <c r="G527" s="18">
        <v>20563</v>
      </c>
      <c r="H527" s="18">
        <v>84659.65</v>
      </c>
      <c r="I527" s="18"/>
      <c r="J527" s="18"/>
      <c r="K527" s="18"/>
      <c r="L527" s="88">
        <f>SUM(F527:K527)</f>
        <v>188560.84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1277424.8299999998</v>
      </c>
      <c r="G528" s="89">
        <f t="shared" ref="G528:L528" si="37">SUM(G525:G527)</f>
        <v>112011.59</v>
      </c>
      <c r="H528" s="89">
        <f t="shared" si="37"/>
        <v>565278.36</v>
      </c>
      <c r="I528" s="89">
        <f t="shared" si="37"/>
        <v>4201.3</v>
      </c>
      <c r="J528" s="89">
        <f t="shared" si="37"/>
        <v>0</v>
      </c>
      <c r="K528" s="89">
        <f t="shared" si="37"/>
        <v>0</v>
      </c>
      <c r="L528" s="89">
        <f t="shared" si="37"/>
        <v>1958916.0800000003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68449.53</v>
      </c>
      <c r="G530" s="18">
        <v>14562</v>
      </c>
      <c r="H530" s="18"/>
      <c r="I530" s="18"/>
      <c r="J530" s="18"/>
      <c r="K530" s="18"/>
      <c r="L530" s="88">
        <f>SUM(F530:K530)</f>
        <v>83011.53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45669.599999999999</v>
      </c>
      <c r="G531" s="18">
        <v>8756.36</v>
      </c>
      <c r="H531" s="18"/>
      <c r="I531" s="18"/>
      <c r="J531" s="18"/>
      <c r="K531" s="18"/>
      <c r="L531" s="88">
        <f>SUM(F531:K531)</f>
        <v>54425.96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60422.87</v>
      </c>
      <c r="G532" s="18">
        <v>15266.95</v>
      </c>
      <c r="H532" s="18"/>
      <c r="I532" s="18"/>
      <c r="J532" s="18"/>
      <c r="K532" s="18"/>
      <c r="L532" s="88">
        <f>SUM(F532:K532)</f>
        <v>75689.820000000007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174542</v>
      </c>
      <c r="G533" s="89">
        <f t="shared" ref="G533:L533" si="38">SUM(G530:G532)</f>
        <v>38585.31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213127.31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3456.52</v>
      </c>
      <c r="I535" s="18"/>
      <c r="J535" s="18"/>
      <c r="K535" s="18"/>
      <c r="L535" s="88">
        <f>SUM(F535:K535)</f>
        <v>3456.52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1475.62</v>
      </c>
      <c r="I536" s="18"/>
      <c r="J536" s="18"/>
      <c r="K536" s="18"/>
      <c r="L536" s="88">
        <f>SUM(F536:K536)</f>
        <v>1475.62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2569.3200000000002</v>
      </c>
      <c r="I537" s="18"/>
      <c r="J537" s="18"/>
      <c r="K537" s="18"/>
      <c r="L537" s="88">
        <f>SUM(F537:K537)</f>
        <v>2569.3200000000002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7501.4599999999991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7501.4599999999991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807989.1</v>
      </c>
      <c r="I540" s="18"/>
      <c r="J540" s="18"/>
      <c r="K540" s="18"/>
      <c r="L540" s="88">
        <f>SUM(F540:K540)</f>
        <v>807989.1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312236.69</v>
      </c>
      <c r="I541" s="18"/>
      <c r="J541" s="18"/>
      <c r="K541" s="18"/>
      <c r="L541" s="88">
        <f>SUM(F541:K541)</f>
        <v>312236.69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521756.14</v>
      </c>
      <c r="I542" s="18"/>
      <c r="J542" s="18"/>
      <c r="K542" s="18"/>
      <c r="L542" s="88">
        <f>SUM(F542:K542)</f>
        <v>521756.14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1641981.9300000002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1641981.9300000002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8499103.1600000001</v>
      </c>
      <c r="G544" s="89">
        <f t="shared" ref="G544:L544" si="41">G523+G528+G533+G538+G543</f>
        <v>3750831.89</v>
      </c>
      <c r="H544" s="89">
        <f t="shared" si="41"/>
        <v>6467265</v>
      </c>
      <c r="I544" s="89">
        <f t="shared" si="41"/>
        <v>106627.57</v>
      </c>
      <c r="J544" s="89">
        <f t="shared" si="41"/>
        <v>249060.82</v>
      </c>
      <c r="K544" s="89">
        <f t="shared" si="41"/>
        <v>0</v>
      </c>
      <c r="L544" s="89">
        <f t="shared" si="41"/>
        <v>19072888.440000001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6868985.0200000005</v>
      </c>
      <c r="G548" s="87">
        <f>L525</f>
        <v>1568580.1700000002</v>
      </c>
      <c r="H548" s="87">
        <f>L530</f>
        <v>83011.53</v>
      </c>
      <c r="I548" s="87">
        <f>L535</f>
        <v>3456.52</v>
      </c>
      <c r="J548" s="87">
        <f>L540</f>
        <v>807989.1</v>
      </c>
      <c r="K548" s="87">
        <f>SUM(F548:J548)</f>
        <v>9332022.3399999999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2305141.2799999998</v>
      </c>
      <c r="G549" s="87">
        <f>L526</f>
        <v>201775.07</v>
      </c>
      <c r="H549" s="87">
        <f>L531</f>
        <v>54425.96</v>
      </c>
      <c r="I549" s="87">
        <f>L536</f>
        <v>1475.62</v>
      </c>
      <c r="J549" s="87">
        <f>L541</f>
        <v>312236.69</v>
      </c>
      <c r="K549" s="87">
        <f>SUM(F549:J549)</f>
        <v>2875054.6199999996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6077235.3600000003</v>
      </c>
      <c r="G550" s="87">
        <f>L527</f>
        <v>188560.84</v>
      </c>
      <c r="H550" s="87">
        <f>L532</f>
        <v>75689.820000000007</v>
      </c>
      <c r="I550" s="87">
        <f>L537</f>
        <v>2569.3200000000002</v>
      </c>
      <c r="J550" s="87">
        <f>L542</f>
        <v>521756.14</v>
      </c>
      <c r="K550" s="87">
        <f>SUM(F550:J550)</f>
        <v>6865811.4800000004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15251361.66</v>
      </c>
      <c r="G551" s="89">
        <f t="shared" si="42"/>
        <v>1958916.0800000003</v>
      </c>
      <c r="H551" s="89">
        <f t="shared" si="42"/>
        <v>213127.31</v>
      </c>
      <c r="I551" s="89">
        <f t="shared" si="42"/>
        <v>7501.4599999999991</v>
      </c>
      <c r="J551" s="89">
        <f t="shared" si="42"/>
        <v>1641981.9300000002</v>
      </c>
      <c r="K551" s="89">
        <f t="shared" si="42"/>
        <v>19072888.439999998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121356.40000000001</v>
      </c>
      <c r="G566" s="18">
        <v>19431</v>
      </c>
      <c r="H566" s="18">
        <v>2894.53</v>
      </c>
      <c r="I566" s="18"/>
      <c r="J566" s="18"/>
      <c r="K566" s="18"/>
      <c r="L566" s="88">
        <f>SUM(F566:K566)</f>
        <v>143681.93000000002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26698.408000000003</v>
      </c>
      <c r="G567" s="18">
        <v>8610</v>
      </c>
      <c r="H567" s="18">
        <v>1940.19</v>
      </c>
      <c r="I567" s="18"/>
      <c r="J567" s="18"/>
      <c r="K567" s="18"/>
      <c r="L567" s="88">
        <f>SUM(F567:K567)</f>
        <v>37248.598000000005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7208.5701600000011</v>
      </c>
      <c r="G568" s="18">
        <v>21073.200000000001</v>
      </c>
      <c r="H568" s="18">
        <v>14430.32</v>
      </c>
      <c r="I568" s="18"/>
      <c r="J568" s="18"/>
      <c r="K568" s="18"/>
      <c r="L568" s="88">
        <f>SUM(F568:K568)</f>
        <v>42712.09016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155263.37816000002</v>
      </c>
      <c r="G569" s="194">
        <f t="shared" ref="G569:L569" si="45">SUM(G566:G568)</f>
        <v>49114.2</v>
      </c>
      <c r="H569" s="194">
        <f t="shared" si="45"/>
        <v>19265.04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223642.61816000001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155263.37816000002</v>
      </c>
      <c r="G570" s="89">
        <f t="shared" ref="G570:L570" si="46">G559+G564+G569</f>
        <v>49114.2</v>
      </c>
      <c r="H570" s="89">
        <f t="shared" si="46"/>
        <v>19265.04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223642.61816000001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296720.63</v>
      </c>
      <c r="G575" s="18">
        <v>100364.08</v>
      </c>
      <c r="H575" s="18">
        <v>58818.78</v>
      </c>
      <c r="I575" s="87">
        <f t="shared" ref="I575:I586" si="47">SUM(F575:H575)</f>
        <v>455903.49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f>13500</f>
        <v>13500</v>
      </c>
      <c r="I577" s="87">
        <f t="shared" si="47"/>
        <v>13500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69147.12</v>
      </c>
      <c r="G578" s="18">
        <f>358006.42+8672</f>
        <v>366678.42</v>
      </c>
      <c r="H578" s="18"/>
      <c r="I578" s="87">
        <f t="shared" si="47"/>
        <v>435825.54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48551.54</v>
      </c>
      <c r="G579" s="18"/>
      <c r="H579" s="18">
        <v>951650.69</v>
      </c>
      <c r="I579" s="87">
        <f t="shared" si="47"/>
        <v>1000202.23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1576203.24</v>
      </c>
      <c r="I581" s="87">
        <f t="shared" si="47"/>
        <v>1576203.24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88429.83</v>
      </c>
      <c r="I583" s="87">
        <f t="shared" si="47"/>
        <v>88429.83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45">
        <v>516385.12</v>
      </c>
      <c r="I590" s="18">
        <v>478252.36</v>
      </c>
      <c r="J590" s="18">
        <f>605048.73+25000-10000-20000</f>
        <v>600048.73</v>
      </c>
      <c r="K590" s="104">
        <f t="shared" ref="K590:K596" si="48">SUM(H590:J590)</f>
        <v>1594686.21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294563.32-1256.15+514681.93</f>
        <v>807989.1</v>
      </c>
      <c r="I591" s="18">
        <f>311525.32+711.37</f>
        <v>312236.69</v>
      </c>
      <c r="J591" s="18">
        <f>521756.14</f>
        <v>521756.14</v>
      </c>
      <c r="K591" s="104">
        <f t="shared" si="48"/>
        <v>1641981.9300000002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113904.6</v>
      </c>
      <c r="K592" s="104">
        <f t="shared" si="48"/>
        <v>113904.6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12456.36</v>
      </c>
      <c r="J593" s="18">
        <v>67630.05</v>
      </c>
      <c r="K593" s="104">
        <f t="shared" si="48"/>
        <v>80086.41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4919.9399999999996</v>
      </c>
      <c r="I594" s="18">
        <v>1348.75</v>
      </c>
      <c r="J594" s="18">
        <f>6488.41-533.77+20000</f>
        <v>25954.639999999999</v>
      </c>
      <c r="K594" s="104">
        <f t="shared" si="48"/>
        <v>32223.329999999998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1329294.1599999999</v>
      </c>
      <c r="I597" s="108">
        <f>SUM(I590:I596)</f>
        <v>804294.16</v>
      </c>
      <c r="J597" s="108">
        <f>SUM(J590:J596)</f>
        <v>1329294.1600000001</v>
      </c>
      <c r="K597" s="108">
        <f>SUM(K590:K596)</f>
        <v>3462882.4800000004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298750.82</v>
      </c>
      <c r="I603" s="18">
        <v>140452.76</v>
      </c>
      <c r="J603" s="18"/>
      <c r="K603" s="104">
        <f>SUM(H603:J603)</f>
        <v>439203.58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298750.82</v>
      </c>
      <c r="I604" s="108">
        <f>SUM(I601:I603)</f>
        <v>140452.76</v>
      </c>
      <c r="J604" s="108">
        <f>SUM(J601:J603)</f>
        <v>0</v>
      </c>
      <c r="K604" s="108">
        <f>SUM(K601:K603)</f>
        <v>439203.58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12536</v>
      </c>
      <c r="G610" s="18">
        <v>5632</v>
      </c>
      <c r="H610" s="18"/>
      <c r="I610" s="18">
        <v>4000</v>
      </c>
      <c r="J610" s="18"/>
      <c r="K610" s="18"/>
      <c r="L610" s="88">
        <f>SUM(F610:K610)</f>
        <v>22168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12536</v>
      </c>
      <c r="G613" s="108">
        <f t="shared" si="49"/>
        <v>5632</v>
      </c>
      <c r="H613" s="108">
        <f t="shared" si="49"/>
        <v>0</v>
      </c>
      <c r="I613" s="108">
        <f t="shared" si="49"/>
        <v>4000</v>
      </c>
      <c r="J613" s="108">
        <f t="shared" si="49"/>
        <v>0</v>
      </c>
      <c r="K613" s="108">
        <f t="shared" si="49"/>
        <v>0</v>
      </c>
      <c r="L613" s="89">
        <f t="shared" si="49"/>
        <v>22168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2211448.16</v>
      </c>
      <c r="H616" s="109">
        <f>SUM(F51)</f>
        <v>2211448.16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173056</v>
      </c>
      <c r="H617" s="109">
        <f>SUM(G51)</f>
        <v>173056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571409.86</v>
      </c>
      <c r="H618" s="109">
        <f>SUM(H51)</f>
        <v>571409.86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921299.97</v>
      </c>
      <c r="H620" s="109">
        <f>SUM(J51)</f>
        <v>921299.97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2003185.85</v>
      </c>
      <c r="H621" s="109">
        <f>F475</f>
        <v>2003185.8500000015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158029.04</v>
      </c>
      <c r="H622" s="109">
        <f>G475</f>
        <v>158029.04000000004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135564.64000000001</v>
      </c>
      <c r="H623" s="109">
        <f>H475</f>
        <v>135564.64000000013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921299.97</v>
      </c>
      <c r="H625" s="109">
        <f>J475</f>
        <v>921299.97000000009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60914000.110000007</v>
      </c>
      <c r="H626" s="104">
        <f>SUM(F467)</f>
        <v>60914000.109999999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1343269.47</v>
      </c>
      <c r="H627" s="104">
        <f>SUM(G467)</f>
        <v>1343269.47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1702429.74</v>
      </c>
      <c r="H628" s="104">
        <f>SUM(H467)</f>
        <v>1702429.74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17200</v>
      </c>
      <c r="H630" s="104">
        <f>SUM(J467)</f>
        <v>17200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61003514.469999999</v>
      </c>
      <c r="H631" s="104">
        <f>SUM(F471)</f>
        <v>61003514.469999999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1675698.73</v>
      </c>
      <c r="H632" s="104">
        <f>SUM(H471)</f>
        <v>1675698.73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702558.42</v>
      </c>
      <c r="H633" s="104">
        <f>I368</f>
        <v>702558.42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1298727.2599999998</v>
      </c>
      <c r="H634" s="104">
        <f>SUM(G471)</f>
        <v>1298727.26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17200</v>
      </c>
      <c r="H636" s="164">
        <f>SUM(J467)</f>
        <v>17200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397876.9</v>
      </c>
      <c r="H637" s="164">
        <f>SUM(J471)</f>
        <v>397876.9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921299.97</v>
      </c>
      <c r="H638" s="104">
        <f>SUM(F460)</f>
        <v>921299.97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921299.97</v>
      </c>
      <c r="H641" s="104">
        <f>SUM(I460)</f>
        <v>921299.97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7400</v>
      </c>
      <c r="H643" s="104">
        <f>H407</f>
        <v>7400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17200</v>
      </c>
      <c r="H645" s="104">
        <f>L407</f>
        <v>17200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3462882.4800000004</v>
      </c>
      <c r="H646" s="104">
        <f>L207+L225+L243</f>
        <v>3462882.4800000004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439203.58</v>
      </c>
      <c r="H647" s="104">
        <f>(J256+J337)-(J254+J335)</f>
        <v>439203.57999999996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1329294.1600000001</v>
      </c>
      <c r="H648" s="104">
        <f>H597</f>
        <v>1329294.1599999999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804294.16000000015</v>
      </c>
      <c r="H649" s="104">
        <f>I597</f>
        <v>804294.16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1329294.1599999999</v>
      </c>
      <c r="H650" s="104">
        <f>J597</f>
        <v>1329294.1600000001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28687263.620000001</v>
      </c>
      <c r="G659" s="19">
        <f>(L228+L308+L358)</f>
        <v>9781801.7800000012</v>
      </c>
      <c r="H659" s="19">
        <f>(L246+L327+L359)</f>
        <v>22707375.98</v>
      </c>
      <c r="I659" s="19">
        <f>SUM(F659:H659)</f>
        <v>61176441.38000001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525525.63055717491</v>
      </c>
      <c r="G660" s="19">
        <f>(L358/IF(SUM(L357:L359)=0,1,SUM(L357:L359))*(SUM(G96:G109)))</f>
        <v>189605.41626552679</v>
      </c>
      <c r="H660" s="19">
        <f>(L359/IF(SUM(L357:L359)=0,1,SUM(L357:L359))*(SUM(G96:G109)))</f>
        <v>403159.50317729841</v>
      </c>
      <c r="I660" s="19">
        <f>SUM(F660:H660)</f>
        <v>1118290.55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1329294.1600000001</v>
      </c>
      <c r="G661" s="19">
        <f>(L225+L305)-(J225+J305)</f>
        <v>804294.16000000015</v>
      </c>
      <c r="H661" s="19">
        <f>(L243+L324)-(J243+J324)</f>
        <v>1329294.1599999999</v>
      </c>
      <c r="I661" s="19">
        <f>SUM(F661:H661)</f>
        <v>3462882.4800000004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735338.11</v>
      </c>
      <c r="G662" s="200">
        <f>SUM(G574:G586)+SUM(I601:I603)+L611</f>
        <v>607495.26</v>
      </c>
      <c r="H662" s="200">
        <f>SUM(H574:H586)+SUM(J601:J603)+L612</f>
        <v>2688602.54</v>
      </c>
      <c r="I662" s="19">
        <f>SUM(F662:H662)</f>
        <v>4031435.91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26097105.719442826</v>
      </c>
      <c r="G663" s="19">
        <f>G659-SUM(G660:G662)</f>
        <v>8180406.9437344745</v>
      </c>
      <c r="H663" s="19">
        <f>H659-SUM(H660:H662)</f>
        <v>18286319.776822701</v>
      </c>
      <c r="I663" s="19">
        <f>I659-SUM(I660:I662)</f>
        <v>52563832.440000013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1976.9</v>
      </c>
      <c r="G664" s="249">
        <v>605.01</v>
      </c>
      <c r="H664" s="249">
        <v>1430.98</v>
      </c>
      <c r="I664" s="19">
        <f>SUM(F664:H664)</f>
        <v>4012.89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13201.02</v>
      </c>
      <c r="G666" s="19">
        <f>ROUND(G663/G664,2)</f>
        <v>13521.11</v>
      </c>
      <c r="H666" s="19">
        <f>ROUND(H663/H664,2)</f>
        <v>12778.88</v>
      </c>
      <c r="I666" s="19">
        <f>ROUND(I663/I664,2)</f>
        <v>13098.75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-17.93</v>
      </c>
      <c r="I669" s="19">
        <f>SUM(F669:H669)</f>
        <v>-17.93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13201.02</v>
      </c>
      <c r="G671" s="19">
        <f>ROUND((G663+G668)/(G664+G669),2)</f>
        <v>13521.11</v>
      </c>
      <c r="H671" s="19">
        <f>ROUND((H663+H668)/(H664+H669),2)</f>
        <v>12941.03</v>
      </c>
      <c r="I671" s="19">
        <f>ROUND((I663+I668)/(I664+I669),2)</f>
        <v>13157.54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A1:C55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Merrimack SD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14866943.99</v>
      </c>
      <c r="C9" s="230">
        <f>'DOE25'!G196+'DOE25'!G214+'DOE25'!G232+'DOE25'!G275+'DOE25'!G294+'DOE25'!G313</f>
        <v>7944697.3200000003</v>
      </c>
    </row>
    <row r="10" spans="1:3">
      <c r="A10" t="s">
        <v>779</v>
      </c>
      <c r="B10" s="241">
        <v>14866943.99</v>
      </c>
      <c r="C10" s="241">
        <v>7944697.3200000003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14866943.99</v>
      </c>
      <c r="C13" s="232">
        <f>SUM(C10:C12)</f>
        <v>7944697.3200000003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6997136.330000001</v>
      </c>
      <c r="C18" s="230">
        <f>'DOE25'!G197+'DOE25'!G215+'DOE25'!G233+'DOE25'!G276+'DOE25'!H295+'DOE25'!G314</f>
        <v>3642536.47</v>
      </c>
    </row>
    <row r="19" spans="1:3">
      <c r="A19" t="s">
        <v>779</v>
      </c>
      <c r="B19" s="241">
        <f>7047136.33-674526.36</f>
        <v>6372609.9699999997</v>
      </c>
      <c r="C19" s="241">
        <f>3602536.47-375622.2</f>
        <v>3226914.27</v>
      </c>
    </row>
    <row r="20" spans="1:3">
      <c r="A20" t="s">
        <v>780</v>
      </c>
      <c r="B20" s="241">
        <f>674526.36-50000</f>
        <v>624526.36</v>
      </c>
      <c r="C20" s="241">
        <f>375622.2+40000</f>
        <v>415622.2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6997136.3300000001</v>
      </c>
      <c r="C22" s="232">
        <f>SUM(C19:C21)</f>
        <v>3642536.47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'DOE25'!F201+'DOE25'!F217+'DOE25'!F235+'DOE25'!F278+'DOE25'!F297+'DOE25'!F316</f>
        <v>1794753.35</v>
      </c>
      <c r="C36" s="236">
        <f>'DOE25'!G201+'DOE25'!G217+'DOE25'!G235+'DOE25'!G278+'DOE25'!G297+'DOE25'!G316</f>
        <v>945070.82</v>
      </c>
    </row>
    <row r="37" spans="1:3">
      <c r="A37" t="s">
        <v>779</v>
      </c>
      <c r="B37" s="21"/>
      <c r="C37" s="21"/>
    </row>
    <row r="38" spans="1:3">
      <c r="A38" t="s">
        <v>780</v>
      </c>
      <c r="B38" s="241">
        <v>1065323.33</v>
      </c>
      <c r="C38" s="241">
        <v>754263.35</v>
      </c>
    </row>
    <row r="39" spans="1:3">
      <c r="A39" t="s">
        <v>781</v>
      </c>
      <c r="B39" s="241">
        <v>729430.02</v>
      </c>
      <c r="C39" s="241">
        <f>945070.82-754263.35</f>
        <v>190807.46999999997</v>
      </c>
    </row>
    <row r="40" spans="1:3">
      <c r="A40" t="str">
        <f>IF(B36=B40,IF(C36=C40,"Check Total OK","Check Total Error"),"Check Total Error")</f>
        <v>Check Total OK</v>
      </c>
      <c r="B40" s="232">
        <f>SUM(B38:B39)</f>
        <v>1794753.35</v>
      </c>
      <c r="C40" s="232">
        <f>SUM(C38:C39)</f>
        <v>945070.82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2" activePane="bottomLeft" state="frozen"/>
      <selection pane="bottomLeft" activeCell="M19" sqref="M1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Merrimack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39054961.760000005</v>
      </c>
      <c r="D5" s="20">
        <f>SUM('DOE25'!L196:L199)+SUM('DOE25'!L214:L217)+SUM('DOE25'!L232:L235)-F5-G5</f>
        <v>38938982.250000007</v>
      </c>
      <c r="E5" s="244"/>
      <c r="F5" s="256">
        <f>SUM('DOE25'!J196:J199)+SUM('DOE25'!J214:J217)+SUM('DOE25'!J232:J235)</f>
        <v>101102.43000000001</v>
      </c>
      <c r="G5" s="53">
        <f>SUM('DOE25'!K196:K199)+SUM('DOE25'!K214:K217)+SUM('DOE25'!K232:K235)</f>
        <v>14877.08</v>
      </c>
      <c r="H5" s="260"/>
    </row>
    <row r="6" spans="1:9">
      <c r="A6" s="32">
        <v>2100</v>
      </c>
      <c r="B6" t="s">
        <v>801</v>
      </c>
      <c r="C6" s="246">
        <f t="shared" si="0"/>
        <v>4493475.46</v>
      </c>
      <c r="D6" s="20">
        <f>'DOE25'!L201+'DOE25'!L219+'DOE25'!L237-F6-G6</f>
        <v>4493475.46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1619894.56</v>
      </c>
      <c r="D7" s="20">
        <f>'DOE25'!L202+'DOE25'!L220+'DOE25'!L238-F7-G7</f>
        <v>1602330.4100000001</v>
      </c>
      <c r="E7" s="244"/>
      <c r="F7" s="256">
        <f>'DOE25'!J202+'DOE25'!J220+'DOE25'!J238</f>
        <v>17071.150000000001</v>
      </c>
      <c r="G7" s="53">
        <f>'DOE25'!K202+'DOE25'!K220+'DOE25'!K238</f>
        <v>493</v>
      </c>
      <c r="H7" s="260"/>
    </row>
    <row r="8" spans="1:9">
      <c r="A8" s="32">
        <v>2300</v>
      </c>
      <c r="B8" t="s">
        <v>802</v>
      </c>
      <c r="C8" s="246">
        <f t="shared" si="0"/>
        <v>1022159.9799999999</v>
      </c>
      <c r="D8" s="244"/>
      <c r="E8" s="20">
        <f>'DOE25'!L203+'DOE25'!L221+'DOE25'!L239-F8-G8-D9-D11</f>
        <v>989337.6399999999</v>
      </c>
      <c r="F8" s="256">
        <f>'DOE25'!J203+'DOE25'!J221+'DOE25'!J239</f>
        <v>12053.220000000001</v>
      </c>
      <c r="G8" s="53">
        <f>'DOE25'!K203+'DOE25'!K221+'DOE25'!K239</f>
        <v>20769.12</v>
      </c>
      <c r="H8" s="260"/>
    </row>
    <row r="9" spans="1:9">
      <c r="A9" s="32">
        <v>2310</v>
      </c>
      <c r="B9" t="s">
        <v>818</v>
      </c>
      <c r="C9" s="246">
        <f t="shared" si="0"/>
        <v>12500</v>
      </c>
      <c r="D9" s="245">
        <v>12500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27000</v>
      </c>
      <c r="D10" s="244"/>
      <c r="E10" s="245">
        <v>27000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524962.5</v>
      </c>
      <c r="D11" s="245">
        <v>524962.5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2924549.36</v>
      </c>
      <c r="D12" s="20">
        <f>'DOE25'!L204+'DOE25'!L222+'DOE25'!L240-F12-G12</f>
        <v>2875484.9499999997</v>
      </c>
      <c r="E12" s="244"/>
      <c r="F12" s="256">
        <f>'DOE25'!J204+'DOE25'!J222+'DOE25'!J240</f>
        <v>964.79</v>
      </c>
      <c r="G12" s="53">
        <f>'DOE25'!K204+'DOE25'!K222+'DOE25'!K240</f>
        <v>48099.62</v>
      </c>
      <c r="H12" s="260"/>
    </row>
    <row r="13" spans="1:9">
      <c r="A13" s="32">
        <v>2500</v>
      </c>
      <c r="B13" t="s">
        <v>803</v>
      </c>
      <c r="C13" s="246">
        <f t="shared" si="0"/>
        <v>589376.07000000007</v>
      </c>
      <c r="D13" s="244"/>
      <c r="E13" s="20">
        <f>'DOE25'!L205+'DOE25'!L223+'DOE25'!L241-F13-G13</f>
        <v>583336.57000000007</v>
      </c>
      <c r="F13" s="256">
        <f>'DOE25'!J205+'DOE25'!J223+'DOE25'!J241</f>
        <v>0</v>
      </c>
      <c r="G13" s="53">
        <f>'DOE25'!K205+'DOE25'!K223+'DOE25'!K241</f>
        <v>6039.5</v>
      </c>
      <c r="H13" s="260"/>
    </row>
    <row r="14" spans="1:9">
      <c r="A14" s="32">
        <v>2600</v>
      </c>
      <c r="B14" t="s">
        <v>832</v>
      </c>
      <c r="C14" s="246">
        <f t="shared" si="0"/>
        <v>4360379.49</v>
      </c>
      <c r="D14" s="20">
        <f>'DOE25'!L206+'DOE25'!L224+'DOE25'!L242-F14-G14</f>
        <v>4351118.32</v>
      </c>
      <c r="E14" s="244"/>
      <c r="F14" s="256">
        <f>'DOE25'!J206+'DOE25'!J224+'DOE25'!J242</f>
        <v>9261.17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3462882.4800000004</v>
      </c>
      <c r="D15" s="20">
        <f>'DOE25'!L207+'DOE25'!L225+'DOE25'!L243-F15-G15</f>
        <v>3462882.4800000004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136873.72999999998</v>
      </c>
      <c r="D16" s="244"/>
      <c r="E16" s="20">
        <f>'DOE25'!L208+'DOE25'!L226+'DOE25'!L244-F16-G16</f>
        <v>136873.72999999998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25379.98</v>
      </c>
      <c r="D17" s="20">
        <f>'DOE25'!L250-F17-G17</f>
        <v>25379.98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806109.35</v>
      </c>
      <c r="D22" s="244"/>
      <c r="E22" s="244"/>
      <c r="F22" s="256">
        <f>'DOE25'!L254+'DOE25'!L335</f>
        <v>806109.35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1970009.75</v>
      </c>
      <c r="D25" s="244"/>
      <c r="E25" s="244"/>
      <c r="F25" s="259"/>
      <c r="G25" s="257"/>
      <c r="H25" s="258">
        <f>'DOE25'!L259+'DOE25'!L260+'DOE25'!L340+'DOE25'!L341</f>
        <v>1970009.75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650160.48999999976</v>
      </c>
      <c r="D29" s="20">
        <f>'DOE25'!L357+'DOE25'!L358+'DOE25'!L359-'DOE25'!I366-F29-G29</f>
        <v>644603.34999999974</v>
      </c>
      <c r="E29" s="244"/>
      <c r="F29" s="256">
        <f>'DOE25'!J357+'DOE25'!J358+'DOE25'!J359</f>
        <v>5557.1399999999994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1675698.73</v>
      </c>
      <c r="D31" s="20">
        <f>'DOE25'!L289+'DOE25'!L308+'DOE25'!L327+'DOE25'!L332+'DOE25'!L333+'DOE25'!L334-F31-G31</f>
        <v>1352393.4300000002</v>
      </c>
      <c r="E31" s="244"/>
      <c r="F31" s="256">
        <f>'DOE25'!J289+'DOE25'!J308+'DOE25'!J327+'DOE25'!J332+'DOE25'!J333+'DOE25'!J334</f>
        <v>298750.81999999995</v>
      </c>
      <c r="G31" s="53">
        <f>'DOE25'!K289+'DOE25'!K308+'DOE25'!K327+'DOE25'!K332+'DOE25'!K333+'DOE25'!K334</f>
        <v>24554.48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58284113.130000003</v>
      </c>
      <c r="E33" s="247">
        <f>SUM(E5:E31)</f>
        <v>1736547.94</v>
      </c>
      <c r="F33" s="247">
        <f>SUM(F5:F31)</f>
        <v>1250870.0699999998</v>
      </c>
      <c r="G33" s="247">
        <f>SUM(G5:G31)</f>
        <v>114832.8</v>
      </c>
      <c r="H33" s="247">
        <f>SUM(H5:H31)</f>
        <v>1970009.75</v>
      </c>
    </row>
    <row r="35" spans="2:8" ht="12" thickBot="1">
      <c r="B35" s="254" t="s">
        <v>847</v>
      </c>
      <c r="D35" s="255">
        <f>E33</f>
        <v>1736547.94</v>
      </c>
      <c r="E35" s="250"/>
    </row>
    <row r="36" spans="2:8" ht="12" thickTop="1">
      <c r="B36" t="s">
        <v>815</v>
      </c>
      <c r="D36" s="20">
        <f>D33</f>
        <v>58284113.130000003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Merrimack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1249965.73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921299.97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467535.59</v>
      </c>
      <c r="D11" s="95">
        <f>'DOE25'!G12</f>
        <v>0</v>
      </c>
      <c r="E11" s="95">
        <f>'DOE25'!H12</f>
        <v>571409.86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96163.17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103688.84</v>
      </c>
      <c r="D13" s="95">
        <f>'DOE25'!G14</f>
        <v>41550.53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35342.300000000003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390258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2211448.16</v>
      </c>
      <c r="D18" s="41">
        <f>SUM(D8:D17)</f>
        <v>173056</v>
      </c>
      <c r="E18" s="41">
        <f>SUM(E8:E17)</f>
        <v>571409.86</v>
      </c>
      <c r="F18" s="41">
        <f>SUM(F8:F17)</f>
        <v>0</v>
      </c>
      <c r="G18" s="41">
        <f>SUM(G8:G17)</f>
        <v>921299.97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435845.22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208262.31</v>
      </c>
      <c r="D23" s="95">
        <f>'DOE25'!G24</f>
        <v>62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14964.96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208262.31</v>
      </c>
      <c r="D31" s="41">
        <f>SUM(D21:D30)</f>
        <v>15026.96</v>
      </c>
      <c r="E31" s="41">
        <f>SUM(E21:E30)</f>
        <v>435845.22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35342.300000000003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390258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78144.33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58664.62</v>
      </c>
      <c r="D46" s="95">
        <f>'DOE25'!G47</f>
        <v>44542.41</v>
      </c>
      <c r="E46" s="95">
        <f>'DOE25'!H47</f>
        <v>135564.64000000001</v>
      </c>
      <c r="F46" s="95">
        <f>'DOE25'!I47</f>
        <v>0</v>
      </c>
      <c r="G46" s="95">
        <f>'DOE25'!J47</f>
        <v>921299.97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1554263.23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2003185.85</v>
      </c>
      <c r="D49" s="41">
        <f>SUM(D34:D48)</f>
        <v>158029.04</v>
      </c>
      <c r="E49" s="41">
        <f>SUM(E34:E48)</f>
        <v>135564.64000000001</v>
      </c>
      <c r="F49" s="41">
        <f>SUM(F34:F48)</f>
        <v>0</v>
      </c>
      <c r="G49" s="41">
        <f>SUM(G34:G48)</f>
        <v>921299.97</v>
      </c>
      <c r="H49" s="124"/>
      <c r="I49" s="124"/>
    </row>
    <row r="50" spans="1:9" ht="12" thickTop="1">
      <c r="A50" s="38" t="s">
        <v>895</v>
      </c>
      <c r="B50" s="2"/>
      <c r="C50" s="41">
        <f>C49+C31</f>
        <v>2211448.16</v>
      </c>
      <c r="D50" s="41">
        <f>D49+D31</f>
        <v>173056</v>
      </c>
      <c r="E50" s="41">
        <f>E49+E31</f>
        <v>571409.86</v>
      </c>
      <c r="F50" s="41">
        <f>F49+F31</f>
        <v>0</v>
      </c>
      <c r="G50" s="41">
        <f>G49+G31</f>
        <v>921299.97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40577447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250784.24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4560.16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7400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1118290.55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63720.520000000004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9800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319064.92</v>
      </c>
      <c r="D61" s="130">
        <f>SUM(D56:D60)</f>
        <v>1118290.55</v>
      </c>
      <c r="E61" s="130">
        <f>SUM(E56:E60)</f>
        <v>0</v>
      </c>
      <c r="F61" s="130">
        <f>SUM(F56:F60)</f>
        <v>0</v>
      </c>
      <c r="G61" s="130">
        <f>SUM(G56:G60)</f>
        <v>17200</v>
      </c>
      <c r="H61"/>
      <c r="I61"/>
    </row>
    <row r="62" spans="1:9" ht="12" thickTop="1">
      <c r="A62" s="29" t="s">
        <v>175</v>
      </c>
      <c r="B62" s="6"/>
      <c r="C62" s="22">
        <f>C55+C61</f>
        <v>40896511.920000002</v>
      </c>
      <c r="D62" s="22">
        <f>D55+D61</f>
        <v>1118290.55</v>
      </c>
      <c r="E62" s="22">
        <f>E55+E61</f>
        <v>0</v>
      </c>
      <c r="F62" s="22">
        <f>F55+F61</f>
        <v>0</v>
      </c>
      <c r="G62" s="22">
        <f>G55+G61</f>
        <v>17200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10442339.609999999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6882362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9042.39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17333744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468771.34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1109167.1499999999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8319.4599999999991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346.66</v>
      </c>
      <c r="E76" s="95">
        <f>SUM('DOE25'!H130:H134)</f>
        <v>219966.65999999997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1586257.95</v>
      </c>
      <c r="D77" s="130">
        <f>SUM(D71:D76)</f>
        <v>346.66</v>
      </c>
      <c r="E77" s="130">
        <f>SUM(E71:E76)</f>
        <v>219966.65999999997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18920001.949999999</v>
      </c>
      <c r="D80" s="130">
        <f>SUM(D78:D79)+D77+D69</f>
        <v>346.66</v>
      </c>
      <c r="E80" s="130">
        <f>SUM(E78:E79)+E77+E69</f>
        <v>219966.65999999997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370218.17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1097486.24</v>
      </c>
      <c r="D87" s="95">
        <f>SUM('DOE25'!G152:G160)</f>
        <v>224632.26</v>
      </c>
      <c r="E87" s="95">
        <f>SUM('DOE25'!H152:H160)</f>
        <v>1112244.9099999999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1097486.24</v>
      </c>
      <c r="D90" s="131">
        <f>SUM(D84:D89)</f>
        <v>224632.26</v>
      </c>
      <c r="E90" s="131">
        <f>SUM(E84:E89)</f>
        <v>1482463.0799999998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60914000.110000007</v>
      </c>
      <c r="D103" s="86">
        <f>D62+D80+D90+D102</f>
        <v>1343269.47</v>
      </c>
      <c r="E103" s="86">
        <f>E62+E80+E90+E102</f>
        <v>1702429.7399999998</v>
      </c>
      <c r="F103" s="86">
        <f>F62+F80+F90+F102</f>
        <v>0</v>
      </c>
      <c r="G103" s="86">
        <f>G62+G80+G102</f>
        <v>17200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23536536.189999998</v>
      </c>
      <c r="D108" s="24" t="s">
        <v>289</v>
      </c>
      <c r="E108" s="95">
        <f>('DOE25'!L275)+('DOE25'!L294)+('DOE25'!L313)</f>
        <v>191957.26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14723429.909999998</v>
      </c>
      <c r="D109" s="24" t="s">
        <v>289</v>
      </c>
      <c r="E109" s="95">
        <f>('DOE25'!L276)+('DOE25'!L295)+('DOE25'!L314)</f>
        <v>527931.75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58818.78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736176.87999999989</v>
      </c>
      <c r="D111" s="24" t="s">
        <v>289</v>
      </c>
      <c r="E111" s="95">
        <f>+('DOE25'!L278)+('DOE25'!L297)+('DOE25'!L316)</f>
        <v>493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25379.98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39080341.739999995</v>
      </c>
      <c r="D114" s="86">
        <f>SUM(D108:D113)</f>
        <v>0</v>
      </c>
      <c r="E114" s="86">
        <f>SUM(E108:E113)</f>
        <v>720382.01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4493475.46</v>
      </c>
      <c r="D117" s="24" t="s">
        <v>289</v>
      </c>
      <c r="E117" s="95">
        <f>+('DOE25'!L280)+('DOE25'!L299)+('DOE25'!L318)</f>
        <v>626658.69000000006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1619894.56</v>
      </c>
      <c r="D118" s="24" t="s">
        <v>289</v>
      </c>
      <c r="E118" s="95">
        <f>+('DOE25'!L281)+('DOE25'!L300)+('DOE25'!L319)</f>
        <v>184876.93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1559622.48</v>
      </c>
      <c r="D119" s="24" t="s">
        <v>289</v>
      </c>
      <c r="E119" s="95">
        <f>+('DOE25'!L282)+('DOE25'!L301)+('DOE25'!L320)</f>
        <v>606.35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2924549.36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589376.07000000007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4360379.49</v>
      </c>
      <c r="D122" s="24" t="s">
        <v>289</v>
      </c>
      <c r="E122" s="95">
        <f>+('DOE25'!L285)+('DOE25'!L304)+('DOE25'!L323)</f>
        <v>116703.06000000003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3462882.4800000004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136873.72999999998</v>
      </c>
      <c r="D124" s="24" t="s">
        <v>289</v>
      </c>
      <c r="E124" s="95">
        <f>+('DOE25'!L287)+('DOE25'!L306)+('DOE25'!L325)</f>
        <v>26471.690000000002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1298727.2599999998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19147053.629999999</v>
      </c>
      <c r="D127" s="86">
        <f>SUM(D117:D126)</f>
        <v>1298727.2599999998</v>
      </c>
      <c r="E127" s="86">
        <f>SUM(E117:E126)</f>
        <v>955316.7200000002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806109.35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1385000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585009.75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7400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9800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-17200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2776119.1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61003514.469999991</v>
      </c>
      <c r="D144" s="86">
        <f>(D114+D127+D143)</f>
        <v>1298727.2599999998</v>
      </c>
      <c r="E144" s="86">
        <f>(E114+E127+E143)</f>
        <v>1675698.7300000002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15</v>
      </c>
      <c r="C150" s="153">
        <f>'DOE25'!G489</f>
        <v>20</v>
      </c>
      <c r="D150" s="153">
        <f>'DOE25'!H489</f>
        <v>20</v>
      </c>
      <c r="E150" s="153">
        <f>'DOE25'!I489</f>
        <v>12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2/97</v>
      </c>
      <c r="C151" s="152" t="str">
        <f>'DOE25'!G490</f>
        <v>2/01</v>
      </c>
      <c r="D151" s="152" t="str">
        <f>'DOE25'!H490</f>
        <v>2/04</v>
      </c>
      <c r="E151" s="152" t="str">
        <f>'DOE25'!I490</f>
        <v>07/07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8/11</v>
      </c>
      <c r="C152" s="152" t="str">
        <f>'DOE25'!G491</f>
        <v>8/20</v>
      </c>
      <c r="D152" s="152" t="str">
        <f>'DOE25'!H491</f>
        <v>8/23</v>
      </c>
      <c r="E152" s="152" t="str">
        <f>'DOE25'!I491</f>
        <v>07/20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4737447</v>
      </c>
      <c r="C153" s="137">
        <f>'DOE25'!G492</f>
        <v>5915851</v>
      </c>
      <c r="D153" s="137">
        <f>'DOE25'!H492</f>
        <v>15525000</v>
      </c>
      <c r="E153" s="137">
        <f>'DOE25'!I492</f>
        <v>3675816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5.6</v>
      </c>
      <c r="C154" s="137">
        <f>'DOE25'!G493</f>
        <v>5.31</v>
      </c>
      <c r="D154" s="137">
        <f>'DOE25'!H493</f>
        <v>3.52</v>
      </c>
      <c r="E154" s="137">
        <f>'DOE25'!I493</f>
        <v>4.4800000000000004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315000</v>
      </c>
      <c r="C155" s="137">
        <f>'DOE25'!G494</f>
        <v>2950000</v>
      </c>
      <c r="D155" s="137">
        <f>'DOE25'!H494</f>
        <v>10075000</v>
      </c>
      <c r="E155" s="137">
        <f>'DOE25'!I494</f>
        <v>2945378.74</v>
      </c>
      <c r="F155" s="137">
        <f>'DOE25'!J494</f>
        <v>0</v>
      </c>
      <c r="G155" s="138">
        <f>SUM(B155:F155)</f>
        <v>16285378.74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315000</v>
      </c>
      <c r="C157" s="137">
        <f>'DOE25'!G496</f>
        <v>295000</v>
      </c>
      <c r="D157" s="137">
        <f>'DOE25'!H496</f>
        <v>775000</v>
      </c>
      <c r="E157" s="137">
        <f>'DOE25'!I496</f>
        <v>201903.98</v>
      </c>
      <c r="F157" s="137">
        <f>'DOE25'!J496</f>
        <v>0</v>
      </c>
      <c r="G157" s="138">
        <f t="shared" si="0"/>
        <v>1586903.98</v>
      </c>
    </row>
    <row r="158" spans="1:9">
      <c r="A158" s="22" t="s">
        <v>35</v>
      </c>
      <c r="B158" s="137">
        <f>'DOE25'!F497</f>
        <v>0</v>
      </c>
      <c r="C158" s="137">
        <f>'DOE25'!G497</f>
        <v>2655000</v>
      </c>
      <c r="D158" s="137">
        <f>'DOE25'!H497</f>
        <v>9300000</v>
      </c>
      <c r="E158" s="137">
        <f>'DOE25'!I497</f>
        <v>2743474.7600000002</v>
      </c>
      <c r="F158" s="137">
        <f>'DOE25'!J497</f>
        <v>0</v>
      </c>
      <c r="G158" s="138">
        <f t="shared" si="0"/>
        <v>14698474.76</v>
      </c>
    </row>
    <row r="159" spans="1:9">
      <c r="A159" s="22" t="s">
        <v>36</v>
      </c>
      <c r="B159" s="137">
        <f>'DOE25'!F498</f>
        <v>0</v>
      </c>
      <c r="C159" s="137">
        <f>'DOE25'!G498</f>
        <v>577314.5</v>
      </c>
      <c r="D159" s="137">
        <f>'DOE25'!H498</f>
        <v>2557500</v>
      </c>
      <c r="E159" s="137">
        <f>'DOE25'!I498</f>
        <v>613400.74</v>
      </c>
      <c r="F159" s="137">
        <f>'DOE25'!J498</f>
        <v>0</v>
      </c>
      <c r="G159" s="138">
        <f t="shared" si="0"/>
        <v>3748215.24</v>
      </c>
    </row>
    <row r="160" spans="1:9">
      <c r="A160" s="22" t="s">
        <v>37</v>
      </c>
      <c r="B160" s="137">
        <f>'DOE25'!F499</f>
        <v>0</v>
      </c>
      <c r="C160" s="137">
        <f>'DOE25'!G499</f>
        <v>3232314.5</v>
      </c>
      <c r="D160" s="137">
        <f>'DOE25'!H499</f>
        <v>11857500</v>
      </c>
      <c r="E160" s="137">
        <f>'DOE25'!I499</f>
        <v>3356875.5</v>
      </c>
      <c r="F160" s="137">
        <f>'DOE25'!J499</f>
        <v>0</v>
      </c>
      <c r="G160" s="138">
        <f t="shared" si="0"/>
        <v>18446690</v>
      </c>
    </row>
    <row r="161" spans="1:7">
      <c r="A161" s="22" t="s">
        <v>38</v>
      </c>
      <c r="B161" s="137">
        <f>'DOE25'!F500</f>
        <v>0</v>
      </c>
      <c r="C161" s="137">
        <f>'DOE25'!G500</f>
        <v>295000</v>
      </c>
      <c r="D161" s="137">
        <f>'DOE25'!H500</f>
        <v>775000</v>
      </c>
      <c r="E161" s="137">
        <f>'DOE25'!I500</f>
        <v>245382.58</v>
      </c>
      <c r="F161" s="137">
        <f>'DOE25'!J500</f>
        <v>0</v>
      </c>
      <c r="G161" s="138">
        <f t="shared" si="0"/>
        <v>1315382.58</v>
      </c>
    </row>
    <row r="162" spans="1:7">
      <c r="A162" s="22" t="s">
        <v>39</v>
      </c>
      <c r="B162" s="137">
        <f>'DOE25'!F501</f>
        <v>0</v>
      </c>
      <c r="C162" s="137">
        <f>'DOE25'!G501</f>
        <v>134668</v>
      </c>
      <c r="D162" s="137">
        <f>'DOE25'!H501</f>
        <v>406875</v>
      </c>
      <c r="E162" s="137">
        <f>'DOE25'!I501</f>
        <v>122054.17</v>
      </c>
      <c r="F162" s="137">
        <f>'DOE25'!J501</f>
        <v>0</v>
      </c>
      <c r="G162" s="138">
        <f t="shared" si="0"/>
        <v>663597.17000000004</v>
      </c>
    </row>
    <row r="163" spans="1:7">
      <c r="A163" s="22" t="s">
        <v>246</v>
      </c>
      <c r="B163" s="137">
        <f>'DOE25'!F502</f>
        <v>0</v>
      </c>
      <c r="C163" s="137">
        <f>'DOE25'!G502</f>
        <v>429668</v>
      </c>
      <c r="D163" s="137">
        <f>'DOE25'!H502</f>
        <v>1181875</v>
      </c>
      <c r="E163" s="137">
        <f>'DOE25'!I502</f>
        <v>367436.75</v>
      </c>
      <c r="F163" s="137">
        <f>'DOE25'!J502</f>
        <v>0</v>
      </c>
      <c r="G163" s="138">
        <f t="shared" si="0"/>
        <v>1978979.75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Merrimack SD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13201</v>
      </c>
    </row>
    <row r="5" spans="1:4">
      <c r="B5" t="s">
        <v>704</v>
      </c>
      <c r="C5" s="179">
        <f>IF('DOE25'!G664+'DOE25'!G669=0,0,ROUND('DOE25'!G671,0))</f>
        <v>13521</v>
      </c>
    </row>
    <row r="6" spans="1:4">
      <c r="B6" t="s">
        <v>62</v>
      </c>
      <c r="C6" s="179">
        <f>IF('DOE25'!H664+'DOE25'!H669=0,0,ROUND('DOE25'!H671,0))</f>
        <v>12941</v>
      </c>
    </row>
    <row r="7" spans="1:4">
      <c r="B7" t="s">
        <v>705</v>
      </c>
      <c r="C7" s="179">
        <f>IF('DOE25'!I664+'DOE25'!I669=0,0,ROUND('DOE25'!I671,0))</f>
        <v>13158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23728493</v>
      </c>
      <c r="D10" s="182">
        <f>ROUND((C10/$C$28)*100,1)</f>
        <v>39.1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15251362</v>
      </c>
      <c r="D11" s="182">
        <f>ROUND((C11/$C$28)*100,1)</f>
        <v>25.1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58819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736670</v>
      </c>
      <c r="D13" s="182">
        <f>ROUND((C13/$C$28)*100,1)</f>
        <v>1.2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5120134</v>
      </c>
      <c r="D15" s="182">
        <f t="shared" ref="D15:D27" si="0">ROUND((C15/$C$28)*100,1)</f>
        <v>8.4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1804771</v>
      </c>
      <c r="D16" s="182">
        <f t="shared" si="0"/>
        <v>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1723574</v>
      </c>
      <c r="D17" s="182">
        <f t="shared" si="0"/>
        <v>2.8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2924549</v>
      </c>
      <c r="D18" s="182">
        <f t="shared" si="0"/>
        <v>4.8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589376</v>
      </c>
      <c r="D19" s="182">
        <f t="shared" si="0"/>
        <v>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4477083</v>
      </c>
      <c r="D20" s="182">
        <f t="shared" si="0"/>
        <v>7.4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3462882</v>
      </c>
      <c r="D21" s="182">
        <f t="shared" si="0"/>
        <v>5.7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25380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585010</v>
      </c>
      <c r="D25" s="182">
        <f t="shared" si="0"/>
        <v>1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180436.44999999995</v>
      </c>
      <c r="D27" s="182">
        <f t="shared" si="0"/>
        <v>0.3</v>
      </c>
    </row>
    <row r="28" spans="1:4">
      <c r="B28" s="187" t="s">
        <v>723</v>
      </c>
      <c r="C28" s="180">
        <f>SUM(C10:C27)</f>
        <v>60668539.450000003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806109</v>
      </c>
    </row>
    <row r="30" spans="1:4">
      <c r="B30" s="187" t="s">
        <v>729</v>
      </c>
      <c r="C30" s="180">
        <f>SUM(C28:C29)</f>
        <v>61474648.450000003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1385000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40577447</v>
      </c>
      <c r="D35" s="182">
        <f t="shared" ref="D35:D40" si="1">ROUND((C35/$C$41)*100,1)</f>
        <v>64.599999999999994</v>
      </c>
    </row>
    <row r="36" spans="1:4">
      <c r="B36" s="185" t="s">
        <v>743</v>
      </c>
      <c r="C36" s="179">
        <f>SUM('DOE25'!F111:J111)-SUM('DOE25'!G96:G109)+('DOE25'!F173+'DOE25'!F174+'DOE25'!I173+'DOE25'!I174)-C35</f>
        <v>336264.92000000179</v>
      </c>
      <c r="D36" s="182">
        <f t="shared" si="1"/>
        <v>0.5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17333744</v>
      </c>
      <c r="D37" s="182">
        <f t="shared" si="1"/>
        <v>27.6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1806571</v>
      </c>
      <c r="D38" s="182">
        <f t="shared" si="1"/>
        <v>2.9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2804582</v>
      </c>
      <c r="D39" s="182">
        <f t="shared" si="1"/>
        <v>4.5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62858608.920000002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Merrimack SD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8"/>
      <c r="AB29" s="208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8"/>
      <c r="AO29" s="208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8"/>
      <c r="BB29" s="208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8"/>
      <c r="BO29" s="208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8"/>
      <c r="CB29" s="208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8"/>
      <c r="CO29" s="208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8"/>
      <c r="DB29" s="208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8"/>
      <c r="DO29" s="208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8"/>
      <c r="EB29" s="208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8"/>
      <c r="EO29" s="208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8"/>
      <c r="FB29" s="208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8"/>
      <c r="FO29" s="208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8"/>
      <c r="GB29" s="208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8"/>
      <c r="GO29" s="208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8"/>
      <c r="HB29" s="208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8"/>
      <c r="HO29" s="208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8"/>
      <c r="IB29" s="208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8"/>
      <c r="IO29" s="208"/>
      <c r="IP29" s="281"/>
      <c r="IQ29" s="281"/>
      <c r="IR29" s="281"/>
      <c r="IS29" s="281"/>
      <c r="IT29" s="281"/>
      <c r="IU29" s="281"/>
      <c r="IV29" s="281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8"/>
      <c r="AB30" s="208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8"/>
      <c r="AO30" s="208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8"/>
      <c r="BB30" s="208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8"/>
      <c r="BO30" s="208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8"/>
      <c r="CB30" s="208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8"/>
      <c r="CO30" s="208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8"/>
      <c r="DB30" s="208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8"/>
      <c r="DO30" s="208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8"/>
      <c r="EB30" s="208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8"/>
      <c r="EO30" s="208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8"/>
      <c r="FB30" s="208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8"/>
      <c r="FO30" s="208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8"/>
      <c r="GB30" s="208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8"/>
      <c r="GO30" s="208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8"/>
      <c r="HB30" s="208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8"/>
      <c r="HO30" s="208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8"/>
      <c r="IB30" s="208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8"/>
      <c r="IO30" s="208"/>
      <c r="IP30" s="281"/>
      <c r="IQ30" s="281"/>
      <c r="IR30" s="281"/>
      <c r="IS30" s="281"/>
      <c r="IT30" s="281"/>
      <c r="IU30" s="281"/>
      <c r="IV30" s="281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8"/>
      <c r="AB31" s="208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8"/>
      <c r="AO31" s="208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8"/>
      <c r="BB31" s="208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8"/>
      <c r="BO31" s="208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8"/>
      <c r="CB31" s="208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8"/>
      <c r="CO31" s="208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8"/>
      <c r="DB31" s="208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8"/>
      <c r="DO31" s="208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8"/>
      <c r="EB31" s="208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8"/>
      <c r="EO31" s="208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8"/>
      <c r="FB31" s="208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8"/>
      <c r="FO31" s="208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8"/>
      <c r="GB31" s="208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8"/>
      <c r="GO31" s="208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8"/>
      <c r="HB31" s="208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8"/>
      <c r="HO31" s="208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8"/>
      <c r="IB31" s="208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8"/>
      <c r="IO31" s="208"/>
      <c r="IP31" s="281"/>
      <c r="IQ31" s="281"/>
      <c r="IR31" s="281"/>
      <c r="IS31" s="281"/>
      <c r="IT31" s="281"/>
      <c r="IU31" s="281"/>
      <c r="IV31" s="281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8"/>
      <c r="AB38" s="208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8"/>
      <c r="AO38" s="208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8"/>
      <c r="BB38" s="208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8"/>
      <c r="BO38" s="208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8"/>
      <c r="CB38" s="208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8"/>
      <c r="CO38" s="208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8"/>
      <c r="DB38" s="208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8"/>
      <c r="DO38" s="208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8"/>
      <c r="EB38" s="208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8"/>
      <c r="EO38" s="208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8"/>
      <c r="FB38" s="208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8"/>
      <c r="FO38" s="208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8"/>
      <c r="GB38" s="208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8"/>
      <c r="GO38" s="208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8"/>
      <c r="HB38" s="208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8"/>
      <c r="HO38" s="208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8"/>
      <c r="IB38" s="208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8"/>
      <c r="IO38" s="208"/>
      <c r="IP38" s="281"/>
      <c r="IQ38" s="281"/>
      <c r="IR38" s="281"/>
      <c r="IS38" s="281"/>
      <c r="IT38" s="281"/>
      <c r="IU38" s="281"/>
      <c r="IV38" s="281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8"/>
      <c r="AB39" s="208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8"/>
      <c r="AO39" s="208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8"/>
      <c r="BB39" s="208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8"/>
      <c r="BO39" s="208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8"/>
      <c r="CB39" s="208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8"/>
      <c r="CO39" s="208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8"/>
      <c r="DB39" s="208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8"/>
      <c r="DO39" s="208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8"/>
      <c r="EB39" s="208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8"/>
      <c r="EO39" s="208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8"/>
      <c r="FB39" s="208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8"/>
      <c r="FO39" s="208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8"/>
      <c r="GB39" s="208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8"/>
      <c r="GO39" s="208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8"/>
      <c r="HB39" s="208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8"/>
      <c r="HO39" s="208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8"/>
      <c r="IB39" s="208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8"/>
      <c r="IO39" s="208"/>
      <c r="IP39" s="281"/>
      <c r="IQ39" s="281"/>
      <c r="IR39" s="281"/>
      <c r="IS39" s="281"/>
      <c r="IT39" s="281"/>
      <c r="IU39" s="281"/>
      <c r="IV39" s="281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8"/>
      <c r="AB40" s="208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8"/>
      <c r="AO40" s="208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8"/>
      <c r="BB40" s="208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8"/>
      <c r="BO40" s="208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8"/>
      <c r="CB40" s="208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8"/>
      <c r="CO40" s="208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8"/>
      <c r="DB40" s="208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8"/>
      <c r="DO40" s="208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8"/>
      <c r="EB40" s="208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8"/>
      <c r="EO40" s="208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8"/>
      <c r="FB40" s="208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8"/>
      <c r="FO40" s="208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8"/>
      <c r="GB40" s="208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8"/>
      <c r="GO40" s="208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8"/>
      <c r="HB40" s="208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8"/>
      <c r="HO40" s="208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8"/>
      <c r="IB40" s="208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8"/>
      <c r="IO40" s="208"/>
      <c r="IP40" s="281"/>
      <c r="IQ40" s="281"/>
      <c r="IR40" s="281"/>
      <c r="IS40" s="281"/>
      <c r="IT40" s="281"/>
      <c r="IU40" s="281"/>
      <c r="IV40" s="281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73:M73"/>
    <mergeCell ref="C74:M74"/>
    <mergeCell ref="C66:M66"/>
    <mergeCell ref="C67:M67"/>
    <mergeCell ref="C68:M68"/>
    <mergeCell ref="C69:M6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87:M87"/>
    <mergeCell ref="C88:M88"/>
    <mergeCell ref="C89:M89"/>
    <mergeCell ref="C75:M75"/>
    <mergeCell ref="C76:M76"/>
    <mergeCell ref="C77:M77"/>
    <mergeCell ref="C78:M78"/>
    <mergeCell ref="C65:M65"/>
    <mergeCell ref="C34:M34"/>
    <mergeCell ref="C35:M35"/>
    <mergeCell ref="C36:M36"/>
    <mergeCell ref="C61:M61"/>
    <mergeCell ref="C53:M53"/>
    <mergeCell ref="C54:M54"/>
    <mergeCell ref="C70:M70"/>
    <mergeCell ref="A72:E72"/>
    <mergeCell ref="C43:M43"/>
    <mergeCell ref="C42:M42"/>
    <mergeCell ref="C41:M41"/>
    <mergeCell ref="C40:M40"/>
    <mergeCell ref="C14:M14"/>
    <mergeCell ref="C15:M15"/>
    <mergeCell ref="C16:M16"/>
    <mergeCell ref="C17:M17"/>
    <mergeCell ref="C18:M18"/>
    <mergeCell ref="C19:M19"/>
    <mergeCell ref="C62:M62"/>
    <mergeCell ref="C63:M63"/>
    <mergeCell ref="C64:M6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5:M45"/>
    <mergeCell ref="C46:M46"/>
    <mergeCell ref="C44:M44"/>
    <mergeCell ref="A1:I1"/>
    <mergeCell ref="C3:M3"/>
    <mergeCell ref="C4:M4"/>
    <mergeCell ref="F2:I2"/>
    <mergeCell ref="A2:E2"/>
    <mergeCell ref="C13:M13"/>
    <mergeCell ref="C5:M5"/>
    <mergeCell ref="C6:M6"/>
    <mergeCell ref="C7:M7"/>
    <mergeCell ref="C8:M8"/>
    <mergeCell ref="P29:Z29"/>
    <mergeCell ref="EC29:EM29"/>
    <mergeCell ref="CP29:CZ29"/>
    <mergeCell ref="DC29:DM29"/>
    <mergeCell ref="DP29:DZ29"/>
    <mergeCell ref="BC29:BM29"/>
    <mergeCell ref="BP29:BZ29"/>
    <mergeCell ref="CC29:CM29"/>
    <mergeCell ref="C9:M9"/>
    <mergeCell ref="C10:M10"/>
    <mergeCell ref="C11:M11"/>
    <mergeCell ref="C12:M12"/>
    <mergeCell ref="C28:M28"/>
    <mergeCell ref="C24:M24"/>
    <mergeCell ref="C25:M25"/>
    <mergeCell ref="C20:M20"/>
    <mergeCell ref="C22:M22"/>
    <mergeCell ref="C23:M23"/>
    <mergeCell ref="C21:M21"/>
    <mergeCell ref="C27:M27"/>
    <mergeCell ref="AC29:AM29"/>
    <mergeCell ref="AP29:AZ29"/>
    <mergeCell ref="C29:M29"/>
    <mergeCell ref="C26:M26"/>
    <mergeCell ref="GP29:GZ29"/>
    <mergeCell ref="HC29:HM29"/>
    <mergeCell ref="EP29:EZ29"/>
    <mergeCell ref="FC29:FM29"/>
    <mergeCell ref="FP29:FZ29"/>
    <mergeCell ref="GC29:GM29"/>
    <mergeCell ref="HP29:HZ29"/>
    <mergeCell ref="IC29:IM29"/>
    <mergeCell ref="IP29:IV29"/>
    <mergeCell ref="P38:Z38"/>
    <mergeCell ref="P32:Z32"/>
    <mergeCell ref="C33:M33"/>
    <mergeCell ref="C37:M37"/>
    <mergeCell ref="C38:M38"/>
    <mergeCell ref="C39:M39"/>
    <mergeCell ref="BC30:BM30"/>
    <mergeCell ref="BP30:BZ30"/>
    <mergeCell ref="AC31:AM31"/>
    <mergeCell ref="AP39:AZ39"/>
    <mergeCell ref="AP31:AZ31"/>
    <mergeCell ref="C32:M32"/>
    <mergeCell ref="P30:Z30"/>
    <mergeCell ref="AC30:AM30"/>
    <mergeCell ref="AP30:AZ30"/>
    <mergeCell ref="P31:Z31"/>
    <mergeCell ref="C30:M30"/>
    <mergeCell ref="C31:M31"/>
    <mergeCell ref="AC38:AM38"/>
    <mergeCell ref="AP38:AZ38"/>
    <mergeCell ref="BP38:BZ38"/>
    <mergeCell ref="P39:Z39"/>
    <mergeCell ref="AC39:AM39"/>
    <mergeCell ref="BP39:BZ39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CC30:CM30"/>
    <mergeCell ref="CP30:CZ30"/>
    <mergeCell ref="DC30:DM30"/>
    <mergeCell ref="CC31:CM31"/>
    <mergeCell ref="CP31:CZ31"/>
    <mergeCell ref="DC31:DM31"/>
    <mergeCell ref="BP32:BZ32"/>
    <mergeCell ref="BC38:BM38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GP32:GZ32"/>
    <mergeCell ref="GC32:GM32"/>
    <mergeCell ref="CC38:CM38"/>
    <mergeCell ref="CC32:CM32"/>
    <mergeCell ref="CP38:CZ38"/>
    <mergeCell ref="DC32:DM32"/>
    <mergeCell ref="AC32:AM32"/>
    <mergeCell ref="AP32:AZ32"/>
    <mergeCell ref="DP32:DZ32"/>
    <mergeCell ref="EC32:EM32"/>
    <mergeCell ref="FP32:FZ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IC40:IM40"/>
    <mergeCell ref="GP40:GZ40"/>
    <mergeCell ref="HC40:HM40"/>
    <mergeCell ref="IP39:IV39"/>
    <mergeCell ref="GP39:GZ39"/>
    <mergeCell ref="IC39:IM39"/>
    <mergeCell ref="HP39:HZ39"/>
    <mergeCell ref="HC39:HM39"/>
    <mergeCell ref="IP40:IV40"/>
    <mergeCell ref="GC39:GM39"/>
    <mergeCell ref="GC40:GM40"/>
    <mergeCell ref="HP40:HZ40"/>
    <mergeCell ref="P40:Z40"/>
    <mergeCell ref="AC40:AM40"/>
    <mergeCell ref="CP40:CZ40"/>
    <mergeCell ref="DC40:DM40"/>
    <mergeCell ref="EP39:EZ39"/>
    <mergeCell ref="FC39:FM39"/>
    <mergeCell ref="FP39:FZ39"/>
    <mergeCell ref="DC39:DM39"/>
    <mergeCell ref="DP39:DZ39"/>
    <mergeCell ref="DP40:DZ40"/>
    <mergeCell ref="EC39:EM39"/>
    <mergeCell ref="BP40:BZ40"/>
    <mergeCell ref="FC40:FM40"/>
    <mergeCell ref="FP40:FZ40"/>
    <mergeCell ref="CC40:CM40"/>
    <mergeCell ref="CC39:CM39"/>
    <mergeCell ref="CP39:CZ39"/>
    <mergeCell ref="EP40:EZ40"/>
    <mergeCell ref="EC40:EM40"/>
    <mergeCell ref="BC40:B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2012-10-23T18:57:48Z</cp:lastPrinted>
  <dcterms:created xsi:type="dcterms:W3CDTF">1997-12-04T19:04:30Z</dcterms:created>
  <dcterms:modified xsi:type="dcterms:W3CDTF">2012-11-21T15:02:56Z</dcterms:modified>
</cp:coreProperties>
</file>