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F0A" lockStructure="1"/>
  <bookViews>
    <workbookView xWindow="135" yWindow="75" windowWidth="19320" windowHeight="1164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01" i="1" l="1"/>
  <c r="C162" i="2" s="1"/>
  <c r="G498" i="1"/>
  <c r="G497" i="1"/>
  <c r="C158" i="2" s="1"/>
  <c r="G494" i="1"/>
  <c r="H528" i="1"/>
  <c r="F581" i="1"/>
  <c r="H578" i="1"/>
  <c r="F578" i="1"/>
  <c r="H583" i="1"/>
  <c r="F464" i="1"/>
  <c r="F471" i="1"/>
  <c r="H603" i="1"/>
  <c r="H604" i="1"/>
  <c r="J243" i="1"/>
  <c r="H12" i="1"/>
  <c r="E11" i="2" s="1"/>
  <c r="H367" i="1"/>
  <c r="G367" i="1"/>
  <c r="F367" i="1"/>
  <c r="I47" i="1"/>
  <c r="G471" i="1"/>
  <c r="I359" i="1"/>
  <c r="G47" i="1"/>
  <c r="H366" i="1"/>
  <c r="J359" i="1"/>
  <c r="G357" i="1"/>
  <c r="F357" i="1"/>
  <c r="F95" i="1"/>
  <c r="F56" i="1"/>
  <c r="F59" i="1"/>
  <c r="H22" i="1"/>
  <c r="H28" i="1"/>
  <c r="H13" i="1"/>
  <c r="H24" i="1"/>
  <c r="F23" i="2" s="1"/>
  <c r="F49" i="1"/>
  <c r="F29" i="1"/>
  <c r="F9" i="1"/>
  <c r="F10" i="1"/>
  <c r="H467" i="1"/>
  <c r="G441" i="1"/>
  <c r="H359" i="1"/>
  <c r="F359" i="1"/>
  <c r="L359" i="1" s="1"/>
  <c r="I358" i="1"/>
  <c r="H358" i="1"/>
  <c r="G358" i="1"/>
  <c r="F358" i="1"/>
  <c r="H357" i="1"/>
  <c r="H299" i="1"/>
  <c r="H280" i="1"/>
  <c r="G280" i="1"/>
  <c r="F280" i="1"/>
  <c r="F334" i="1"/>
  <c r="I278" i="1"/>
  <c r="H278" i="1"/>
  <c r="F316" i="1"/>
  <c r="F297" i="1"/>
  <c r="L297" i="1" s="1"/>
  <c r="F278" i="1"/>
  <c r="F294" i="1"/>
  <c r="J276" i="1"/>
  <c r="I314" i="1"/>
  <c r="I295" i="1"/>
  <c r="I276" i="1"/>
  <c r="H314" i="1"/>
  <c r="H295" i="1"/>
  <c r="H276" i="1"/>
  <c r="G276" i="1"/>
  <c r="F295" i="1"/>
  <c r="F276" i="1"/>
  <c r="I313" i="1"/>
  <c r="I294" i="1"/>
  <c r="I275" i="1"/>
  <c r="H294" i="1"/>
  <c r="H275" i="1"/>
  <c r="F313" i="1"/>
  <c r="J219" i="1"/>
  <c r="I219" i="1"/>
  <c r="H219" i="1"/>
  <c r="G232" i="1"/>
  <c r="G214" i="1"/>
  <c r="G196" i="1"/>
  <c r="H254" i="1"/>
  <c r="L254" i="1" s="1"/>
  <c r="C129" i="2" s="1"/>
  <c r="K207" i="1"/>
  <c r="J207" i="1"/>
  <c r="F15" i="13" s="1"/>
  <c r="I207" i="1"/>
  <c r="H207" i="1"/>
  <c r="F225" i="1"/>
  <c r="F243" i="1"/>
  <c r="F207" i="1"/>
  <c r="J206" i="1"/>
  <c r="I242" i="1"/>
  <c r="I224" i="1"/>
  <c r="I206" i="1"/>
  <c r="H242" i="1"/>
  <c r="H224" i="1"/>
  <c r="H206" i="1"/>
  <c r="G206" i="1"/>
  <c r="F242" i="1"/>
  <c r="F224" i="1"/>
  <c r="L224" i="1" s="1"/>
  <c r="F206" i="1"/>
  <c r="J204" i="1"/>
  <c r="H204" i="1"/>
  <c r="G204" i="1"/>
  <c r="H239" i="1"/>
  <c r="H221" i="1"/>
  <c r="H203" i="1"/>
  <c r="G203" i="1"/>
  <c r="F203" i="1"/>
  <c r="J238" i="1"/>
  <c r="J220" i="1"/>
  <c r="J202" i="1"/>
  <c r="I238" i="1"/>
  <c r="I220" i="1"/>
  <c r="I202" i="1"/>
  <c r="H238" i="1"/>
  <c r="H220" i="1"/>
  <c r="H202" i="1"/>
  <c r="G238" i="1"/>
  <c r="G220" i="1"/>
  <c r="G202" i="1"/>
  <c r="F238" i="1"/>
  <c r="F220" i="1"/>
  <c r="F202" i="1"/>
  <c r="L202" i="1" s="1"/>
  <c r="K237" i="1"/>
  <c r="K219" i="1"/>
  <c r="K201" i="1"/>
  <c r="J237" i="1"/>
  <c r="J201" i="1"/>
  <c r="I237" i="1"/>
  <c r="I201" i="1"/>
  <c r="H201" i="1"/>
  <c r="G201" i="1"/>
  <c r="F237" i="1"/>
  <c r="F219" i="1"/>
  <c r="F201" i="1"/>
  <c r="L201" i="1" s="1"/>
  <c r="K235" i="1"/>
  <c r="G5" i="13" s="1"/>
  <c r="I199" i="1"/>
  <c r="H235" i="1"/>
  <c r="L235" i="1" s="1"/>
  <c r="H217" i="1"/>
  <c r="G217" i="1"/>
  <c r="G199" i="1"/>
  <c r="F199" i="1"/>
  <c r="J233" i="1"/>
  <c r="J215" i="1"/>
  <c r="J197" i="1"/>
  <c r="I233" i="1"/>
  <c r="I215" i="1"/>
  <c r="I197" i="1"/>
  <c r="H233" i="1"/>
  <c r="H215" i="1"/>
  <c r="L215" i="1" s="1"/>
  <c r="H197" i="1"/>
  <c r="F233" i="1"/>
  <c r="F215" i="1"/>
  <c r="F197" i="1"/>
  <c r="B18" i="12" s="1"/>
  <c r="I232" i="1"/>
  <c r="I214" i="1"/>
  <c r="I196" i="1"/>
  <c r="H196" i="1"/>
  <c r="F232" i="1"/>
  <c r="F214" i="1"/>
  <c r="L214" i="1" s="1"/>
  <c r="F196" i="1"/>
  <c r="G96" i="1"/>
  <c r="H30" i="1"/>
  <c r="E29" i="2" s="1"/>
  <c r="G9" i="1"/>
  <c r="F14" i="1"/>
  <c r="C13" i="2" s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C124" i="2" s="1"/>
  <c r="L196" i="1"/>
  <c r="L198" i="1"/>
  <c r="L199" i="1"/>
  <c r="L216" i="1"/>
  <c r="L217" i="1"/>
  <c r="L234" i="1"/>
  <c r="G6" i="13"/>
  <c r="G7" i="13"/>
  <c r="G12" i="13"/>
  <c r="G14" i="13"/>
  <c r="G15" i="13"/>
  <c r="G17" i="13"/>
  <c r="G18" i="13"/>
  <c r="G19" i="13"/>
  <c r="G29" i="13"/>
  <c r="L238" i="1"/>
  <c r="F12" i="13"/>
  <c r="L222" i="1"/>
  <c r="L240" i="1"/>
  <c r="F14" i="13"/>
  <c r="L242" i="1"/>
  <c r="L207" i="1"/>
  <c r="F661" i="1" s="1"/>
  <c r="L225" i="1"/>
  <c r="L243" i="1"/>
  <c r="F17" i="13"/>
  <c r="L250" i="1"/>
  <c r="F18" i="13"/>
  <c r="L251" i="1"/>
  <c r="F19" i="13"/>
  <c r="L252" i="1"/>
  <c r="F29" i="13"/>
  <c r="L357" i="1"/>
  <c r="I366" i="1"/>
  <c r="J308" i="1"/>
  <c r="J327" i="1"/>
  <c r="K289" i="1"/>
  <c r="K308" i="1"/>
  <c r="K327" i="1"/>
  <c r="L275" i="1"/>
  <c r="L277" i="1"/>
  <c r="L280" i="1"/>
  <c r="L281" i="1"/>
  <c r="L282" i="1"/>
  <c r="L283" i="1"/>
  <c r="L284" i="1"/>
  <c r="L285" i="1"/>
  <c r="L286" i="1"/>
  <c r="L287" i="1"/>
  <c r="L296" i="1"/>
  <c r="L299" i="1"/>
  <c r="L300" i="1"/>
  <c r="E118" i="2"/>
  <c r="L301" i="1"/>
  <c r="L302" i="1"/>
  <c r="L303" i="1"/>
  <c r="L304" i="1"/>
  <c r="L305" i="1"/>
  <c r="L306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E113" i="2" s="1"/>
  <c r="L259" i="1"/>
  <c r="C130" i="2"/>
  <c r="L260" i="1"/>
  <c r="C131" i="2"/>
  <c r="L340" i="1"/>
  <c r="L341" i="1"/>
  <c r="C25" i="10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13" i="12"/>
  <c r="C13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0" i="1" s="1"/>
  <c r="C138" i="2" s="1"/>
  <c r="L402" i="1"/>
  <c r="L403" i="1"/>
  <c r="L404" i="1"/>
  <c r="L405" i="1"/>
  <c r="L265" i="1"/>
  <c r="J59" i="1"/>
  <c r="G55" i="2" s="1"/>
  <c r="G58" i="2"/>
  <c r="G60" i="2"/>
  <c r="G61" i="2" s="1"/>
  <c r="G62" i="2" s="1"/>
  <c r="F2" i="11"/>
  <c r="L612" i="1"/>
  <c r="L611" i="1"/>
  <c r="L610" i="1"/>
  <c r="C40" i="10"/>
  <c r="G59" i="1"/>
  <c r="D55" i="2"/>
  <c r="H59" i="1"/>
  <c r="I59" i="1"/>
  <c r="F78" i="1"/>
  <c r="C56" i="2"/>
  <c r="F93" i="1"/>
  <c r="F110" i="1"/>
  <c r="G110" i="1"/>
  <c r="H78" i="1"/>
  <c r="E56" i="2" s="1"/>
  <c r="H93" i="1"/>
  <c r="H110" i="1"/>
  <c r="I110" i="1"/>
  <c r="I111" i="1"/>
  <c r="J110" i="1"/>
  <c r="F120" i="1"/>
  <c r="F139" i="1" s="1"/>
  <c r="F135" i="1"/>
  <c r="G120" i="1"/>
  <c r="G139" i="1" s="1"/>
  <c r="G135" i="1"/>
  <c r="H120" i="1"/>
  <c r="H135" i="1"/>
  <c r="I120" i="1"/>
  <c r="I135" i="1"/>
  <c r="J120" i="1"/>
  <c r="J135" i="1"/>
  <c r="F146" i="1"/>
  <c r="F161" i="1"/>
  <c r="G146" i="1"/>
  <c r="G161" i="1"/>
  <c r="G168" i="1" s="1"/>
  <c r="H146" i="1"/>
  <c r="E84" i="2" s="1"/>
  <c r="H161" i="1"/>
  <c r="I146" i="1"/>
  <c r="I161" i="1"/>
  <c r="L249" i="1"/>
  <c r="L331" i="1"/>
  <c r="C23" i="10" s="1"/>
  <c r="L253" i="1"/>
  <c r="L267" i="1"/>
  <c r="L268" i="1"/>
  <c r="C142" i="2" s="1"/>
  <c r="L348" i="1"/>
  <c r="L349" i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50" i="1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L532" i="1"/>
  <c r="H550" i="1"/>
  <c r="L535" i="1"/>
  <c r="I548" i="1"/>
  <c r="L536" i="1"/>
  <c r="I549" i="1"/>
  <c r="L537" i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L269" i="1" s="1"/>
  <c r="A1" i="2"/>
  <c r="A2" i="2"/>
  <c r="C8" i="2"/>
  <c r="D8" i="2"/>
  <c r="E8" i="2"/>
  <c r="F8" i="2"/>
  <c r="I438" i="1"/>
  <c r="J9" i="1" s="1"/>
  <c r="D9" i="2"/>
  <c r="E9" i="2"/>
  <c r="F9" i="2"/>
  <c r="I439" i="1"/>
  <c r="J10" i="1"/>
  <c r="G9" i="2" s="1"/>
  <c r="C10" i="2"/>
  <c r="C11" i="2"/>
  <c r="D11" i="2"/>
  <c r="F11" i="2"/>
  <c r="I440" i="1"/>
  <c r="J12" i="1"/>
  <c r="G11" i="2" s="1"/>
  <c r="C12" i="2"/>
  <c r="D12" i="2"/>
  <c r="E12" i="2"/>
  <c r="F12" i="2"/>
  <c r="I441" i="1"/>
  <c r="J13" i="1" s="1"/>
  <c r="G12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/>
  <c r="C21" i="2"/>
  <c r="C22" i="2"/>
  <c r="C23" i="2"/>
  <c r="C24" i="2"/>
  <c r="C25" i="2"/>
  <c r="C26" i="2"/>
  <c r="C27" i="2"/>
  <c r="C28" i="2"/>
  <c r="D21" i="2"/>
  <c r="E21" i="2"/>
  <c r="F21" i="2"/>
  <c r="I447" i="1"/>
  <c r="J22" i="1" s="1"/>
  <c r="D22" i="2"/>
  <c r="D31" i="2" s="1"/>
  <c r="D23" i="2"/>
  <c r="D24" i="2"/>
  <c r="D27" i="2"/>
  <c r="D28" i="2"/>
  <c r="D29" i="2"/>
  <c r="D30" i="2"/>
  <c r="E22" i="2"/>
  <c r="F22" i="2"/>
  <c r="I448" i="1"/>
  <c r="J23" i="1" s="1"/>
  <c r="G22" i="2" s="1"/>
  <c r="E23" i="2"/>
  <c r="F24" i="2"/>
  <c r="F25" i="2"/>
  <c r="F26" i="2"/>
  <c r="F27" i="2"/>
  <c r="F28" i="2"/>
  <c r="F29" i="2"/>
  <c r="F30" i="2"/>
  <c r="F34" i="2"/>
  <c r="F35" i="2"/>
  <c r="F49" i="2"/>
  <c r="I449" i="1"/>
  <c r="J24" i="1" s="1"/>
  <c r="G23" i="2"/>
  <c r="E24" i="2"/>
  <c r="E27" i="2"/>
  <c r="E28" i="2"/>
  <c r="C29" i="2"/>
  <c r="C30" i="2"/>
  <c r="E30" i="2"/>
  <c r="I450" i="1"/>
  <c r="J31" i="1" s="1"/>
  <c r="G30" i="2"/>
  <c r="C34" i="2"/>
  <c r="D34" i="2"/>
  <c r="D35" i="2"/>
  <c r="D49" i="2"/>
  <c r="E34" i="2"/>
  <c r="C35" i="2"/>
  <c r="E35" i="2"/>
  <c r="I453" i="1"/>
  <c r="J48" i="1" s="1"/>
  <c r="G47" i="2" s="1"/>
  <c r="I455" i="1"/>
  <c r="J43" i="1" s="1"/>
  <c r="G42" i="2" s="1"/>
  <c r="I456" i="1"/>
  <c r="J37" i="1"/>
  <c r="I458" i="1"/>
  <c r="J47" i="1"/>
  <c r="G46" i="2" s="1"/>
  <c r="C48" i="2"/>
  <c r="E55" i="2"/>
  <c r="F55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D78" i="2"/>
  <c r="D76" i="2"/>
  <c r="D77" i="2" s="1"/>
  <c r="E68" i="2"/>
  <c r="E69" i="2" s="1"/>
  <c r="E78" i="2"/>
  <c r="E79" i="2"/>
  <c r="E75" i="2"/>
  <c r="E76" i="2"/>
  <c r="F68" i="2"/>
  <c r="F69" i="2"/>
  <c r="G68" i="2"/>
  <c r="G69" i="2"/>
  <c r="G76" i="2"/>
  <c r="G77" i="2"/>
  <c r="G80" i="2" s="1"/>
  <c r="C71" i="2"/>
  <c r="F71" i="2"/>
  <c r="C72" i="2"/>
  <c r="F72" i="2"/>
  <c r="C73" i="2"/>
  <c r="C74" i="2"/>
  <c r="C77" i="2" s="1"/>
  <c r="C80" i="2" s="1"/>
  <c r="C103" i="2" s="1"/>
  <c r="C75" i="2"/>
  <c r="C76" i="2"/>
  <c r="F75" i="2"/>
  <c r="F76" i="2"/>
  <c r="C78" i="2"/>
  <c r="C79" i="2"/>
  <c r="C84" i="2"/>
  <c r="D84" i="2"/>
  <c r="F84" i="2"/>
  <c r="C86" i="2"/>
  <c r="E86" i="2"/>
  <c r="F86" i="2"/>
  <c r="C87" i="2"/>
  <c r="D87" i="2"/>
  <c r="E87" i="2"/>
  <c r="F87" i="2"/>
  <c r="C88" i="2"/>
  <c r="D88" i="2"/>
  <c r="D90" i="2"/>
  <c r="E88" i="2"/>
  <c r="F88" i="2"/>
  <c r="C89" i="2"/>
  <c r="C92" i="2"/>
  <c r="F92" i="2"/>
  <c r="C93" i="2"/>
  <c r="F93" i="2"/>
  <c r="D95" i="2"/>
  <c r="D96" i="2"/>
  <c r="D97" i="2"/>
  <c r="D98" i="2"/>
  <c r="D99" i="2"/>
  <c r="D100" i="2"/>
  <c r="D101" i="2"/>
  <c r="E95" i="2"/>
  <c r="F95" i="2"/>
  <c r="G95" i="2"/>
  <c r="C96" i="2"/>
  <c r="E96" i="2"/>
  <c r="F96" i="2"/>
  <c r="G96" i="2"/>
  <c r="G97" i="2"/>
  <c r="G102" i="2" s="1"/>
  <c r="C97" i="2"/>
  <c r="E97" i="2"/>
  <c r="C98" i="2"/>
  <c r="E98" i="2"/>
  <c r="F98" i="2"/>
  <c r="C99" i="2"/>
  <c r="E99" i="2"/>
  <c r="F99" i="2"/>
  <c r="C100" i="2"/>
  <c r="E100" i="2"/>
  <c r="F100" i="2"/>
  <c r="C101" i="2"/>
  <c r="E101" i="2"/>
  <c r="F101" i="2"/>
  <c r="C112" i="2"/>
  <c r="D114" i="2"/>
  <c r="F114" i="2"/>
  <c r="G114" i="2"/>
  <c r="E117" i="2"/>
  <c r="E120" i="2"/>
  <c r="E124" i="2"/>
  <c r="F127" i="2"/>
  <c r="G127" i="2"/>
  <c r="E129" i="2"/>
  <c r="F133" i="2"/>
  <c r="D133" i="2"/>
  <c r="D143" i="2" s="1"/>
  <c r="E133" i="2"/>
  <c r="K418" i="1"/>
  <c r="K426" i="1"/>
  <c r="K432" i="1"/>
  <c r="K433" i="1"/>
  <c r="G133" i="2" s="1"/>
  <c r="G143" i="2" s="1"/>
  <c r="G144" i="2" s="1"/>
  <c r="L262" i="1"/>
  <c r="C134" i="2"/>
  <c r="E134" i="2"/>
  <c r="L263" i="1"/>
  <c r="C135" i="2" s="1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D158" i="2"/>
  <c r="E158" i="2"/>
  <c r="F158" i="2"/>
  <c r="B159" i="2"/>
  <c r="C159" i="2"/>
  <c r="D159" i="2"/>
  <c r="E159" i="2"/>
  <c r="F159" i="2"/>
  <c r="F499" i="1"/>
  <c r="B160" i="2" s="1"/>
  <c r="G499" i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D162" i="2"/>
  <c r="G162" i="2" s="1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G19" i="1"/>
  <c r="G617" i="1" s="1"/>
  <c r="H19" i="1"/>
  <c r="I19" i="1"/>
  <c r="F32" i="1"/>
  <c r="G32" i="1"/>
  <c r="H32" i="1"/>
  <c r="I32" i="1"/>
  <c r="F50" i="1"/>
  <c r="F51" i="1" s="1"/>
  <c r="H616" i="1" s="1"/>
  <c r="J616" i="1" s="1"/>
  <c r="G50" i="1"/>
  <c r="G51" i="1" s="1"/>
  <c r="H617" i="1" s="1"/>
  <c r="H50" i="1"/>
  <c r="G623" i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I210" i="1"/>
  <c r="K210" i="1"/>
  <c r="H228" i="1"/>
  <c r="I228" i="1"/>
  <c r="J228" i="1"/>
  <c r="I603" i="1" s="1"/>
  <c r="G662" i="1" s="1"/>
  <c r="K228" i="1"/>
  <c r="H246" i="1"/>
  <c r="I246" i="1"/>
  <c r="J246" i="1"/>
  <c r="J603" i="1" s="1"/>
  <c r="K246" i="1"/>
  <c r="F255" i="1"/>
  <c r="G255" i="1"/>
  <c r="H255" i="1"/>
  <c r="I255" i="1"/>
  <c r="J255" i="1"/>
  <c r="K255" i="1"/>
  <c r="F289" i="1"/>
  <c r="G289" i="1"/>
  <c r="F308" i="1"/>
  <c r="G308" i="1"/>
  <c r="H308" i="1"/>
  <c r="F327" i="1"/>
  <c r="G327" i="1"/>
  <c r="H327" i="1"/>
  <c r="I327" i="1"/>
  <c r="F336" i="1"/>
  <c r="G336" i="1"/>
  <c r="H336" i="1"/>
  <c r="I336" i="1"/>
  <c r="J336" i="1"/>
  <c r="L336" i="1" s="1"/>
  <c r="K336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G433" i="1"/>
  <c r="H426" i="1"/>
  <c r="I426" i="1"/>
  <c r="I433" i="1" s="1"/>
  <c r="J426" i="1"/>
  <c r="L428" i="1"/>
  <c r="L429" i="1"/>
  <c r="L430" i="1"/>
  <c r="L431" i="1"/>
  <c r="F432" i="1"/>
  <c r="G432" i="1"/>
  <c r="H432" i="1"/>
  <c r="H433" i="1" s="1"/>
  <c r="I432" i="1"/>
  <c r="J432" i="1"/>
  <c r="J433" i="1" s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G460" i="1"/>
  <c r="H639" i="1" s="1"/>
  <c r="I460" i="1"/>
  <c r="F469" i="1"/>
  <c r="G469" i="1"/>
  <c r="H469" i="1"/>
  <c r="I469" i="1"/>
  <c r="J469" i="1"/>
  <c r="F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F613" i="1"/>
  <c r="G613" i="1"/>
  <c r="H613" i="1"/>
  <c r="I613" i="1"/>
  <c r="J613" i="1"/>
  <c r="K613" i="1"/>
  <c r="G618" i="1"/>
  <c r="G619" i="1"/>
  <c r="G621" i="1"/>
  <c r="H626" i="1"/>
  <c r="H627" i="1"/>
  <c r="H628" i="1"/>
  <c r="H629" i="1"/>
  <c r="H630" i="1"/>
  <c r="H631" i="1"/>
  <c r="H632" i="1"/>
  <c r="H635" i="1"/>
  <c r="H636" i="1"/>
  <c r="H637" i="1"/>
  <c r="G638" i="1"/>
  <c r="G639" i="1"/>
  <c r="G640" i="1"/>
  <c r="H641" i="1"/>
  <c r="G642" i="1"/>
  <c r="H642" i="1"/>
  <c r="G643" i="1"/>
  <c r="G644" i="1"/>
  <c r="H649" i="1"/>
  <c r="G651" i="1"/>
  <c r="J651" i="1" s="1"/>
  <c r="H651" i="1"/>
  <c r="G652" i="1"/>
  <c r="H652" i="1"/>
  <c r="G653" i="1"/>
  <c r="H653" i="1"/>
  <c r="J653" i="1" s="1"/>
  <c r="H654" i="1"/>
  <c r="F191" i="1"/>
  <c r="C26" i="10"/>
  <c r="G156" i="2"/>
  <c r="C102" i="2"/>
  <c r="F90" i="2"/>
  <c r="D19" i="13"/>
  <c r="C19" i="13" s="1"/>
  <c r="D17" i="13"/>
  <c r="C17" i="13" s="1"/>
  <c r="G161" i="2"/>
  <c r="G159" i="2"/>
  <c r="E31" i="2"/>
  <c r="G158" i="2"/>
  <c r="E102" i="2"/>
  <c r="F77" i="2"/>
  <c r="F80" i="2" s="1"/>
  <c r="E49" i="2"/>
  <c r="E50" i="2" s="1"/>
  <c r="C90" i="2"/>
  <c r="F18" i="2"/>
  <c r="E61" i="2"/>
  <c r="E62" i="2" s="1"/>
  <c r="F61" i="2"/>
  <c r="F62" i="2" s="1"/>
  <c r="D18" i="2"/>
  <c r="A22" i="12"/>
  <c r="A31" i="12"/>
  <c r="E121" i="2"/>
  <c r="K337" i="1"/>
  <c r="K351" i="1" s="1"/>
  <c r="C17" i="10"/>
  <c r="G648" i="1"/>
  <c r="G650" i="1"/>
  <c r="H661" i="1"/>
  <c r="C19" i="10"/>
  <c r="I256" i="1"/>
  <c r="I270" i="1"/>
  <c r="C119" i="2"/>
  <c r="K256" i="1"/>
  <c r="K270" i="1" s="1"/>
  <c r="E90" i="2"/>
  <c r="C69" i="2"/>
  <c r="C61" i="2"/>
  <c r="G622" i="1"/>
  <c r="H51" i="1"/>
  <c r="H618" i="1" s="1"/>
  <c r="H111" i="1"/>
  <c r="J570" i="1"/>
  <c r="K570" i="1"/>
  <c r="L432" i="1"/>
  <c r="I168" i="1"/>
  <c r="H168" i="1"/>
  <c r="J642" i="1"/>
  <c r="J475" i="1"/>
  <c r="H625" i="1" s="1"/>
  <c r="H475" i="1"/>
  <c r="H623" i="1" s="1"/>
  <c r="J623" i="1" s="1"/>
  <c r="I475" i="1"/>
  <c r="H624" i="1" s="1"/>
  <c r="G337" i="1"/>
  <c r="G351" i="1" s="1"/>
  <c r="F168" i="1"/>
  <c r="J139" i="1"/>
  <c r="K544" i="1"/>
  <c r="H139" i="1"/>
  <c r="F22" i="13"/>
  <c r="C22" i="13" s="1"/>
  <c r="H25" i="13"/>
  <c r="C25" i="13" s="1"/>
  <c r="H570" i="1"/>
  <c r="L559" i="1"/>
  <c r="F337" i="1"/>
  <c r="F351" i="1"/>
  <c r="G191" i="1"/>
  <c r="H191" i="1"/>
  <c r="F551" i="1"/>
  <c r="C35" i="10"/>
  <c r="E16" i="13"/>
  <c r="C16" i="13"/>
  <c r="C49" i="2"/>
  <c r="J654" i="1"/>
  <c r="I570" i="1"/>
  <c r="G36" i="2"/>
  <c r="J289" i="1"/>
  <c r="J337" i="1" s="1"/>
  <c r="L276" i="1"/>
  <c r="I368" i="1"/>
  <c r="H633" i="1" s="1"/>
  <c r="L528" i="1"/>
  <c r="G157" i="2"/>
  <c r="G570" i="1"/>
  <c r="L543" i="1"/>
  <c r="I544" i="1"/>
  <c r="K548" i="1"/>
  <c r="L523" i="1"/>
  <c r="G544" i="1"/>
  <c r="F544" i="1"/>
  <c r="C111" i="2"/>
  <c r="H544" i="1"/>
  <c r="E18" i="2"/>
  <c r="L538" i="1"/>
  <c r="I550" i="1"/>
  <c r="F129" i="2"/>
  <c r="F143" i="2" s="1"/>
  <c r="F144" i="2" s="1"/>
  <c r="L381" i="1"/>
  <c r="G635" i="1" s="1"/>
  <c r="J635" i="1" s="1"/>
  <c r="C29" i="10"/>
  <c r="G111" i="1"/>
  <c r="E122" i="2"/>
  <c r="F662" i="1"/>
  <c r="I581" i="1"/>
  <c r="C12" i="10"/>
  <c r="L232" i="1"/>
  <c r="F246" i="1"/>
  <c r="B9" i="12"/>
  <c r="A13" i="12" s="1"/>
  <c r="H210" i="1"/>
  <c r="H256" i="1" s="1"/>
  <c r="H270" i="1" s="1"/>
  <c r="L197" i="1"/>
  <c r="F6" i="13"/>
  <c r="L237" i="1"/>
  <c r="L220" i="1"/>
  <c r="C118" i="2" s="1"/>
  <c r="F7" i="13"/>
  <c r="D7" i="13"/>
  <c r="C7" i="13" s="1"/>
  <c r="G228" i="1"/>
  <c r="J210" i="1"/>
  <c r="J256" i="1" s="1"/>
  <c r="J270" i="1" s="1"/>
  <c r="L204" i="1"/>
  <c r="G210" i="1"/>
  <c r="G246" i="1"/>
  <c r="C9" i="12"/>
  <c r="L294" i="1"/>
  <c r="I308" i="1"/>
  <c r="L278" i="1"/>
  <c r="H289" i="1"/>
  <c r="H337" i="1" s="1"/>
  <c r="H351" i="1" s="1"/>
  <c r="F361" i="1"/>
  <c r="L358" i="1"/>
  <c r="H660" i="1"/>
  <c r="F19" i="1"/>
  <c r="G616" i="1"/>
  <c r="C9" i="2"/>
  <c r="C18" i="2"/>
  <c r="C55" i="2"/>
  <c r="C62" i="2"/>
  <c r="F111" i="1"/>
  <c r="F192" i="1"/>
  <c r="G626" i="1" s="1"/>
  <c r="H634" i="1"/>
  <c r="G473" i="1"/>
  <c r="G475" i="1" s="1"/>
  <c r="H622" i="1" s="1"/>
  <c r="J622" i="1" s="1"/>
  <c r="I191" i="1"/>
  <c r="K499" i="1"/>
  <c r="C160" i="2"/>
  <c r="G551" i="1"/>
  <c r="F102" i="2"/>
  <c r="E143" i="2"/>
  <c r="L613" i="1"/>
  <c r="E13" i="13"/>
  <c r="C13" i="13"/>
  <c r="C121" i="2"/>
  <c r="H407" i="1"/>
  <c r="H643" i="1" s="1"/>
  <c r="J643" i="1" s="1"/>
  <c r="I51" i="1"/>
  <c r="H619" i="1"/>
  <c r="J619" i="1" s="1"/>
  <c r="G624" i="1"/>
  <c r="J624" i="1" s="1"/>
  <c r="E112" i="2"/>
  <c r="C21" i="10"/>
  <c r="G661" i="1"/>
  <c r="I661" i="1" s="1"/>
  <c r="D15" i="13"/>
  <c r="C15" i="13" s="1"/>
  <c r="G649" i="1"/>
  <c r="J649" i="1" s="1"/>
  <c r="C123" i="2"/>
  <c r="H646" i="1"/>
  <c r="F5" i="13"/>
  <c r="J551" i="1"/>
  <c r="L533" i="1"/>
  <c r="L544" i="1" s="1"/>
  <c r="H549" i="1"/>
  <c r="H551" i="1" s="1"/>
  <c r="C24" i="10"/>
  <c r="D18" i="13"/>
  <c r="C18" i="13" s="1"/>
  <c r="C113" i="2"/>
  <c r="J111" i="1"/>
  <c r="C120" i="2"/>
  <c r="C18" i="10"/>
  <c r="D12" i="13"/>
  <c r="C12" i="13" s="1"/>
  <c r="I551" i="1"/>
  <c r="K550" i="1"/>
  <c r="C16" i="10"/>
  <c r="E111" i="2"/>
  <c r="L289" i="1"/>
  <c r="D126" i="2"/>
  <c r="D127" i="2" s="1"/>
  <c r="D144" i="2" s="1"/>
  <c r="F660" i="1"/>
  <c r="L361" i="1"/>
  <c r="G634" i="1" s="1"/>
  <c r="J634" i="1" s="1"/>
  <c r="G660" i="1"/>
  <c r="D29" i="13"/>
  <c r="C29" i="13" s="1"/>
  <c r="C13" i="10"/>
  <c r="C36" i="10"/>
  <c r="C108" i="2"/>
  <c r="I660" i="1"/>
  <c r="J604" i="1" l="1"/>
  <c r="H662" i="1"/>
  <c r="K603" i="1"/>
  <c r="K604" i="1" s="1"/>
  <c r="G647" i="1" s="1"/>
  <c r="G38" i="2"/>
  <c r="J50" i="1"/>
  <c r="J32" i="1"/>
  <c r="G21" i="2"/>
  <c r="G31" i="2" s="1"/>
  <c r="G8" i="2"/>
  <c r="G18" i="2" s="1"/>
  <c r="J19" i="1"/>
  <c r="G620" i="1" s="1"/>
  <c r="G103" i="2"/>
  <c r="K549" i="1"/>
  <c r="K551" i="1" s="1"/>
  <c r="G192" i="1"/>
  <c r="G627" i="1" s="1"/>
  <c r="J627" i="1" s="1"/>
  <c r="G49" i="2"/>
  <c r="G50" i="2" s="1"/>
  <c r="H192" i="1"/>
  <c r="G628" i="1" s="1"/>
  <c r="J628" i="1" s="1"/>
  <c r="J650" i="1"/>
  <c r="K597" i="1"/>
  <c r="G646" i="1" s="1"/>
  <c r="J646" i="1" s="1"/>
  <c r="J544" i="1"/>
  <c r="J639" i="1"/>
  <c r="H460" i="1"/>
  <c r="H640" i="1" s="1"/>
  <c r="F460" i="1"/>
  <c r="H638" i="1" s="1"/>
  <c r="J638" i="1" s="1"/>
  <c r="J633" i="1"/>
  <c r="I662" i="1"/>
  <c r="J192" i="1"/>
  <c r="J617" i="1"/>
  <c r="D50" i="2"/>
  <c r="L406" i="1"/>
  <c r="C139" i="2" s="1"/>
  <c r="G31" i="13"/>
  <c r="C110" i="2"/>
  <c r="L313" i="1"/>
  <c r="L295" i="1"/>
  <c r="L308" i="1" s="1"/>
  <c r="F103" i="2"/>
  <c r="G160" i="2"/>
  <c r="G256" i="1"/>
  <c r="G270" i="1" s="1"/>
  <c r="C10" i="10"/>
  <c r="E109" i="2"/>
  <c r="C39" i="10"/>
  <c r="J618" i="1"/>
  <c r="J652" i="1"/>
  <c r="J640" i="1"/>
  <c r="L569" i="1"/>
  <c r="L564" i="1"/>
  <c r="F570" i="1"/>
  <c r="F475" i="1"/>
  <c r="H621" i="1" s="1"/>
  <c r="J621" i="1" s="1"/>
  <c r="J641" i="1"/>
  <c r="L426" i="1"/>
  <c r="F433" i="1"/>
  <c r="L418" i="1"/>
  <c r="I407" i="1"/>
  <c r="G407" i="1"/>
  <c r="H644" i="1" s="1"/>
  <c r="J644" i="1" s="1"/>
  <c r="L255" i="1"/>
  <c r="E77" i="2"/>
  <c r="E80" i="2" s="1"/>
  <c r="E103" i="2" s="1"/>
  <c r="D80" i="2"/>
  <c r="A40" i="12"/>
  <c r="E110" i="2"/>
  <c r="E123" i="2"/>
  <c r="E119" i="2"/>
  <c r="G33" i="13"/>
  <c r="J626" i="1"/>
  <c r="J351" i="1"/>
  <c r="H647" i="1"/>
  <c r="G645" i="1"/>
  <c r="G630" i="1"/>
  <c r="J630" i="1" s="1"/>
  <c r="J647" i="1"/>
  <c r="J648" i="1"/>
  <c r="L570" i="1"/>
  <c r="L433" i="1"/>
  <c r="G637" i="1" s="1"/>
  <c r="J637" i="1" s="1"/>
  <c r="G163" i="2"/>
  <c r="C27" i="10"/>
  <c r="F31" i="13"/>
  <c r="H33" i="13"/>
  <c r="D61" i="2"/>
  <c r="D62" i="2" s="1"/>
  <c r="F31" i="2"/>
  <c r="I139" i="1"/>
  <c r="I192" i="1" s="1"/>
  <c r="G629" i="1" s="1"/>
  <c r="J629" i="1" s="1"/>
  <c r="E8" i="13"/>
  <c r="L233" i="1"/>
  <c r="L206" i="1"/>
  <c r="I604" i="1"/>
  <c r="G155" i="2"/>
  <c r="D102" i="2"/>
  <c r="F50" i="2"/>
  <c r="C31" i="2"/>
  <c r="C50" i="2" s="1"/>
  <c r="L392" i="1"/>
  <c r="F228" i="1"/>
  <c r="F256" i="1" s="1"/>
  <c r="F270" i="1" s="1"/>
  <c r="L219" i="1"/>
  <c r="I289" i="1"/>
  <c r="I337" i="1" s="1"/>
  <c r="I351" i="1" s="1"/>
  <c r="J51" i="1" l="1"/>
  <c r="H620" i="1" s="1"/>
  <c r="J620" i="1" s="1"/>
  <c r="G625" i="1"/>
  <c r="J625" i="1" s="1"/>
  <c r="E127" i="2"/>
  <c r="E108" i="2"/>
  <c r="E114" i="2" s="1"/>
  <c r="E144" i="2" s="1"/>
  <c r="L327" i="1"/>
  <c r="L337" i="1" s="1"/>
  <c r="L351" i="1" s="1"/>
  <c r="G632" i="1" s="1"/>
  <c r="J632" i="1" s="1"/>
  <c r="C109" i="2"/>
  <c r="C114" i="2" s="1"/>
  <c r="C11" i="10"/>
  <c r="L246" i="1"/>
  <c r="H659" i="1" s="1"/>
  <c r="H663" i="1" s="1"/>
  <c r="D5" i="13"/>
  <c r="D103" i="2"/>
  <c r="C117" i="2"/>
  <c r="C15" i="10"/>
  <c r="D6" i="13"/>
  <c r="C6" i="13" s="1"/>
  <c r="L228" i="1"/>
  <c r="G659" i="1" s="1"/>
  <c r="G663" i="1" s="1"/>
  <c r="C137" i="2"/>
  <c r="L407" i="1"/>
  <c r="D14" i="13"/>
  <c r="C14" i="13" s="1"/>
  <c r="C20" i="10"/>
  <c r="C122" i="2"/>
  <c r="L210" i="1"/>
  <c r="C8" i="13"/>
  <c r="E33" i="13"/>
  <c r="D35" i="13" s="1"/>
  <c r="C38" i="10"/>
  <c r="F33" i="13"/>
  <c r="D31" i="13" l="1"/>
  <c r="C31" i="13" s="1"/>
  <c r="C41" i="10"/>
  <c r="D38" i="10" s="1"/>
  <c r="C140" i="2"/>
  <c r="C143" i="2" s="1"/>
  <c r="C144" i="2" s="1"/>
  <c r="C127" i="2"/>
  <c r="C5" i="13"/>
  <c r="D33" i="13"/>
  <c r="D36" i="13" s="1"/>
  <c r="C28" i="10"/>
  <c r="D11" i="10" s="1"/>
  <c r="L256" i="1"/>
  <c r="L270" i="1" s="1"/>
  <c r="G631" i="1" s="1"/>
  <c r="F659" i="1"/>
  <c r="G636" i="1"/>
  <c r="J636" i="1" s="1"/>
  <c r="H645" i="1"/>
  <c r="J645" i="1" s="1"/>
  <c r="G666" i="1"/>
  <c r="G671" i="1"/>
  <c r="C5" i="10" s="1"/>
  <c r="D15" i="10"/>
  <c r="H671" i="1"/>
  <c r="C6" i="10" s="1"/>
  <c r="H666" i="1"/>
  <c r="D20" i="10" l="1"/>
  <c r="J631" i="1"/>
  <c r="H655" i="1"/>
  <c r="F663" i="1"/>
  <c r="I659" i="1"/>
  <c r="I663" i="1" s="1"/>
  <c r="D17" i="10"/>
  <c r="D19" i="10"/>
  <c r="D21" i="10"/>
  <c r="D22" i="10"/>
  <c r="D23" i="10"/>
  <c r="C30" i="10"/>
  <c r="D12" i="10"/>
  <c r="D24" i="10"/>
  <c r="D18" i="10"/>
  <c r="D25" i="10"/>
  <c r="D26" i="10"/>
  <c r="D16" i="10"/>
  <c r="D13" i="10"/>
  <c r="D10" i="10"/>
  <c r="D28" i="10" s="1"/>
  <c r="D27" i="10"/>
  <c r="D40" i="10"/>
  <c r="D35" i="10"/>
  <c r="D37" i="10"/>
  <c r="D36" i="10"/>
  <c r="D39" i="10"/>
  <c r="D41" i="10" l="1"/>
  <c r="F666" i="1"/>
  <c r="F671" i="1"/>
  <c r="C4" i="10" s="1"/>
  <c r="I671" i="1"/>
  <c r="C7" i="10" s="1"/>
  <c r="I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<sst xmlns="http://schemas.openxmlformats.org/spreadsheetml/2006/main" count="3949" uniqueCount="912">
  <si>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</si>
  <si>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</si>
  <si>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</si>
  <si>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</si>
  <si>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</si>
  <si>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</si>
  <si>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</si>
  <si>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</si>
  <si>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</si>
  <si>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</si>
  <si>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</si>
  <si>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</si>
  <si>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</si>
  <si>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</si>
  <si>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</si>
  <si>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</si>
  <si>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</si>
  <si>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</si>
  <si>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</si>
  <si>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</si>
  <si>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</si>
  <si>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</si>
  <si>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</si>
  <si>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</si>
  <si>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</si>
  <si>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</si>
  <si>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</si>
  <si>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</si>
  <si>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</si>
  <si>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</si>
  <si>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</si>
  <si>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</si>
  <si>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</si>
  <si>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</si>
  <si>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</si>
  <si>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</si>
  <si>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</si>
  <si>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</si>
  <si>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</si>
  <si>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</si>
  <si>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</si>
  <si>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</si>
  <si>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</si>
  <si>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</si>
  <si>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</si>
  <si>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</si>
  <si>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</si>
  <si>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</si>
  <si>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</si>
  <si>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</si>
  <si>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</si>
  <si>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</si>
  <si>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</si>
  <si>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</si>
  <si>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</si>
  <si>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</si>
  <si>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</si>
  <si>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</si>
  <si>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</si>
  <si>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</si>
  <si>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</si>
  <si>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</si>
  <si>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</si>
  <si>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</si>
  <si>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</si>
  <si>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</si>
  <si>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</si>
  <si>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</si>
  <si>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</si>
  <si>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</si>
  <si>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</si>
  <si>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</si>
  <si>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</si>
  <si>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</si>
  <si>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</si>
  <si>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</si>
  <si>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</si>
  <si>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</si>
  <si>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</si>
  <si>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</si>
  <si>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</si>
  <si>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</si>
  <si>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</si>
  <si>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</si>
  <si>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</si>
  <si>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</si>
  <si>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</si>
  <si>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</si>
  <si>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</si>
  <si>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</si>
  <si>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</si>
  <si>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</si>
  <si>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</si>
  <si>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</si>
  <si>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</si>
  <si>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</si>
  <si>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</si>
  <si>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</si>
  <si>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</si>
  <si>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</si>
  <si>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</si>
  <si>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</si>
  <si>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</si>
  <si>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</si>
  <si>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</si>
  <si>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</si>
  <si>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</si>
  <si>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</si>
  <si>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</si>
  <si>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</si>
  <si>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</si>
  <si>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</si>
  <si>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</si>
  <si>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</si>
  <si>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</si>
  <si>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</si>
  <si>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</si>
  <si>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</si>
  <si>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</si>
  <si>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</si>
  <si>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</si>
  <si>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</si>
  <si>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</si>
  <si>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</si>
  <si>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</si>
  <si>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</si>
  <si>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</si>
  <si>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</si>
  <si>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</si>
  <si>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</si>
  <si>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</si>
  <si>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</si>
  <si>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</si>
  <si>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</si>
  <si>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</si>
  <si>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</si>
  <si>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</si>
  <si>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</si>
  <si>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</si>
  <si>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</si>
  <si>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</si>
  <si>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</si>
  <si>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</si>
  <si>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</si>
  <si>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</si>
  <si>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</si>
  <si>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</si>
  <si>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</si>
  <si>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</si>
  <si>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</si>
  <si>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</si>
  <si>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</si>
  <si>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</si>
  <si>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</si>
  <si>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</si>
  <si>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</si>
  <si>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</si>
  <si>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</si>
  <si>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</si>
  <si>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</si>
  <si>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</si>
  <si>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</si>
  <si>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</si>
  <si>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</si>
  <si>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</si>
  <si>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</si>
  <si>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</si>
  <si>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</si>
  <si>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</si>
  <si>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</si>
  <si>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</si>
  <si>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</si>
  <si>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</si>
  <si>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</si>
  <si>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</si>
  <si>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</si>
  <si>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</si>
  <si>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</si>
  <si>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</si>
  <si>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</si>
  <si>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</si>
  <si>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</si>
  <si>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</si>
  <si>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</si>
  <si>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</si>
  <si>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</si>
  <si>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</si>
  <si>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</si>
  <si>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</si>
  <si>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</si>
  <si>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</si>
  <si>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</si>
  <si>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</si>
  <si>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</si>
  <si>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</si>
  <si>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</si>
  <si>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</si>
  <si>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</si>
  <si>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</si>
  <si>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</si>
  <si>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</si>
  <si>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</si>
  <si>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</si>
  <si>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</si>
  <si>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</si>
  <si>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</si>
  <si>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</si>
  <si>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</si>
  <si>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</si>
  <si>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</si>
  <si>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</si>
  <si>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</si>
  <si>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</si>
  <si>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</si>
  <si>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</si>
  <si>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</si>
  <si>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</si>
  <si>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</si>
  <si>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</si>
  <si>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</si>
  <si>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</si>
  <si>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</si>
  <si>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</si>
  <si>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</si>
  <si>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</si>
  <si>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</si>
  <si>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</si>
  <si>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</si>
  <si>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</si>
  <si>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</si>
  <si>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</si>
  <si>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</si>
  <si>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</si>
  <si>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</si>
  <si>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</si>
  <si>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</si>
  <si>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</si>
  <si>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</si>
  <si>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</si>
  <si>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</si>
  <si>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</si>
  <si>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</si>
  <si>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</si>
  <si>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</si>
  <si>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</si>
  <si>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</si>
  <si>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</si>
  <si>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</si>
  <si>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</si>
  <si>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</si>
  <si>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</si>
  <si>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</si>
  <si>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</si>
  <si>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</si>
  <si>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</si>
  <si>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</si>
  <si>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</si>
  <si>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</si>
  <si>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</si>
  <si>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</si>
  <si>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</si>
  <si>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</si>
  <si>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</si>
  <si>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</si>
  <si>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</si>
  <si>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</si>
  <si>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</si>
  <si>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</si>
  <si>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</si>
  <si>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</si>
  <si>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</si>
  <si>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</si>
  <si>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</si>
  <si>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</si>
  <si>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</si>
  <si>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</si>
  <si>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</si>
  <si>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</si>
  <si>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</si>
  <si>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</si>
  <si>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</si>
  <si>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</si>
  <si>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</si>
  <si>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</si>
  <si>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</si>
  <si>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</si>
  <si>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</si>
  <si>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</si>
  <si>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</si>
  <si>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</si>
  <si>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</si>
  <si>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</si>
  <si>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</si>
  <si>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</si>
  <si>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</si>
  <si>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</si>
  <si>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</si>
  <si>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</si>
  <si>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</si>
  <si>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</si>
  <si>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</si>
  <si>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</si>
  <si>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</si>
  <si>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</si>
  <si>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</si>
  <si>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</si>
  <si>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</si>
  <si>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</si>
  <si>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</si>
  <si>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</si>
  <si>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</si>
  <si>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</si>
  <si>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</si>
  <si>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</si>
  <si>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</si>
  <si>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</si>
  <si>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</si>
  <si>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</si>
  <si>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</si>
  <si>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</si>
  <si>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</si>
  <si>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</si>
  <si>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</si>
  <si>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</si>
  <si>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</si>
  <si>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</si>
  <si>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</si>
  <si>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</si>
  <si>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</si>
  <si>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</si>
  <si>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</si>
  <si>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</si>
  <si>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</si>
  <si>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</si>
  <si>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</si>
  <si>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</si>
  <si>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</si>
  <si>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</si>
  <si>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</si>
  <si>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</si>
  <si>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</si>
  <si>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</si>
  <si>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</si>
  <si>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</si>
  <si>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</si>
  <si>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</si>
  <si>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</si>
  <si>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</si>
  <si>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</si>
  <si>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</si>
  <si>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</si>
  <si>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</si>
  <si>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</si>
  <si>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</si>
  <si>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</si>
  <si>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</si>
  <si>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</si>
  <si>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</si>
  <si>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</si>
  <si>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</si>
  <si>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</si>
  <si>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</si>
  <si>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</si>
  <si>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</si>
  <si>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</si>
  <si>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</si>
  <si>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</si>
  <si>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</si>
  <si>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</si>
  <si>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</si>
  <si>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</si>
  <si>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</si>
  <si>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</si>
  <si>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</si>
  <si>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</si>
  <si>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</si>
  <si>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</si>
  <si>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</si>
  <si>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</si>
  <si>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</si>
  <si>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</si>
  <si>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</si>
  <si>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</si>
  <si>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</si>
  <si>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</si>
  <si>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</si>
  <si>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</si>
  <si>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</si>
  <si>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</si>
  <si>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</si>
  <si>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</si>
  <si>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</si>
  <si>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</si>
  <si>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</si>
  <si>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</si>
  <si>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</si>
  <si>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</si>
  <si>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</si>
  <si>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</si>
  <si>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</si>
  <si>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</si>
  <si>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</si>
  <si>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</si>
  <si>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</si>
  <si>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</si>
  <si>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</si>
  <si>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</si>
  <si>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</si>
  <si>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</si>
  <si>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</si>
  <si>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</si>
  <si>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</si>
  <si>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</si>
  <si>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</si>
  <si>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</si>
  <si>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</si>
  <si>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</si>
  <si>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</si>
  <si>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</si>
  <si>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</si>
  <si>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</si>
  <si>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</si>
  <si>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</si>
  <si>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</si>
  <si>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</si>
  <si>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</si>
  <si>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</si>
  <si>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</si>
  <si>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</si>
  <si>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</si>
  <si>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</si>
  <si>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</si>
  <si>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</si>
  <si>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</si>
  <si>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</si>
  <si>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</si>
  <si>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</si>
  <si>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</si>
  <si>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</si>
  <si>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</si>
  <si>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</si>
  <si>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</si>
  <si>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</si>
  <si>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</si>
  <si>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</si>
  <si>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</si>
  <si>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</si>
  <si>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</si>
  <si>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</si>
  <si>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</si>
  <si>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</si>
  <si>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</si>
  <si>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</si>
  <si>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</si>
  <si>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</si>
  <si>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</si>
  <si>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</si>
  <si>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</si>
  <si>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</si>
  <si>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</si>
  <si>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</si>
  <si>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</si>
  <si>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</si>
  <si>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</si>
  <si>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</si>
  <si>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</si>
  <si>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</si>
  <si>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</si>
  <si>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</si>
  <si>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</si>
  <si>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</si>
  <si>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</si>
  <si>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</si>
  <si>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</si>
  <si>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</si>
  <si>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</si>
  <si>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</si>
  <si>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</si>
  <si>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</si>
  <si>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</si>
  <si>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</si>
  <si>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</si>
  <si>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</si>
  <si>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</si>
  <si>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</si>
  <si>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</si>
  <si>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</si>
  <si>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</si>
  <si>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</si>
  <si>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</si>
  <si>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</si>
  <si>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</si>
  <si>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</si>
  <si>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</si>
  <si>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</si>
  <si>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</si>
  <si>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</si>
  <si>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</si>
  <si>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</si>
  <si>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</si>
  <si>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</si>
  <si>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</si>
  <si>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</si>
  <si>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</si>
  <si>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</si>
  <si>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</si>
  <si>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</si>
  <si>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</si>
  <si>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</si>
  <si>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</si>
  <si>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</si>
  <si>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</si>
  <si>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</si>
  <si>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</si>
  <si>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</si>
  <si>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</si>
  <si>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</si>
  <si>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</si>
  <si>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</si>
  <si>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</si>
  <si>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</si>
  <si>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</si>
  <si>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</si>
  <si>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</si>
  <si>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</si>
  <si>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</si>
  <si>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</si>
  <si>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</si>
  <si>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</si>
  <si>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</si>
  <si>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</si>
  <si>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</si>
  <si>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</si>
  <si>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</si>
  <si>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</si>
  <si>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</si>
  <si>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</si>
  <si>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</si>
  <si>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</si>
  <si>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</si>
  <si>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</si>
  <si>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</si>
  <si>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</si>
  <si>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</si>
  <si>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</si>
  <si>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</si>
  <si>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</si>
  <si>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</si>
  <si>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</si>
  <si>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</si>
  <si>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</si>
  <si>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</si>
  <si>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</si>
  <si>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</si>
  <si>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</si>
  <si>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</si>
  <si>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</si>
  <si>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</si>
  <si>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</si>
  <si>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</si>
  <si>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</si>
  <si>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</si>
  <si>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</si>
  <si>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</si>
  <si>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</si>
  <si>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</si>
  <si>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</si>
  <si>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</si>
  <si>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</si>
  <si>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</si>
  <si>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</si>
  <si>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</si>
  <si>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</si>
  <si>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</si>
  <si>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</si>
  <si>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</si>
  <si>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</si>
  <si>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</si>
  <si>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</si>
  <si>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</si>
  <si>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</si>
  <si>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</si>
  <si>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</si>
  <si>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</si>
  <si>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</si>
  <si>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</si>
  <si>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</si>
  <si>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</si>
  <si>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</si>
  <si>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</si>
  <si>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</si>
  <si>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</si>
  <si>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</si>
  <si>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</si>
  <si>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</si>
  <si>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</si>
  <si>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</si>
  <si>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</si>
  <si>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</si>
  <si>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</si>
  <si>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</si>
  <si>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</si>
  <si>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</si>
  <si>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</si>
  <si>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</si>
  <si>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</si>
  <si>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</si>
  <si>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</si>
  <si>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</si>
  <si>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</si>
  <si>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</si>
  <si>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</si>
  <si>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</si>
  <si>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</si>
  <si>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</si>
  <si>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</si>
  <si>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</si>
  <si>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</si>
  <si>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</si>
  <si>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</si>
  <si>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</si>
  <si>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</si>
  <si>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</si>
  <si>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</si>
  <si>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</si>
  <si>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</si>
  <si>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</si>
  <si>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</si>
  <si>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</si>
  <si>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</si>
  <si>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</si>
  <si>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</si>
  <si>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</si>
  <si>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</si>
  <si>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</si>
  <si>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</si>
  <si>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</si>
  <si>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</si>
  <si>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</si>
  <si>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</si>
  <si>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</si>
  <si>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</si>
  <si>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</si>
  <si>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</si>
  <si>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</si>
  <si>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</si>
  <si>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</si>
  <si>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</si>
  <si>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</si>
  <si>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</si>
  <si>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</si>
  <si>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</si>
  <si>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</si>
  <si>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</si>
  <si>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</si>
  <si>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</si>
  <si>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</si>
  <si>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</si>
  <si>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</si>
  <si>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</si>
  <si>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</si>
  <si>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</si>
  <si>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</si>
  <si>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</si>
  <si>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</si>
  <si>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</si>
  <si>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</si>
  <si>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</si>
  <si>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</si>
  <si>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</si>
  <si>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</si>
  <si>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</si>
  <si>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</si>
  <si>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</si>
  <si>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</si>
  <si>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</si>
  <si>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</si>
  <si>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</si>
  <si>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</si>
  <si>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</si>
  <si>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</si>
  <si>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</si>
  <si>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</si>
  <si>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</si>
  <si>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</si>
  <si>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</si>
  <si>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</si>
  <si>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</si>
  <si>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</si>
  <si>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</si>
  <si>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</si>
  <si>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</si>
  <si>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</si>
  <si>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</si>
  <si>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</si>
  <si>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</si>
  <si>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</si>
  <si>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</si>
  <si>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</si>
  <si>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</si>
  <si>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</si>
  <si>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</si>
  <si>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</si>
  <si>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</si>
  <si>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</si>
  <si>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</si>
  <si>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</si>
  <si>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</si>
  <si>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</si>
  <si>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</si>
  <si>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</si>
  <si>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</si>
  <si>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</si>
  <si>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</si>
  <si>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</si>
  <si>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</si>
  <si>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</si>
  <si>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</si>
  <si>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</si>
  <si>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</si>
  <si>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</si>
  <si>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</si>
  <si>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</si>
  <si>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</si>
  <si>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</si>
  <si>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</si>
  <si>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</si>
  <si>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</si>
  <si>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</si>
  <si>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</si>
  <si>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</si>
  <si>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</si>
  <si>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</si>
  <si>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</si>
  <si>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</si>
  <si>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</si>
  <si>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</si>
  <si>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</si>
  <si>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</si>
  <si>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</si>
  <si>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</si>
  <si>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</si>
  <si>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</si>
  <si>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</si>
  <si>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</si>
  <si>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</si>
  <si>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</si>
  <si>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</si>
  <si>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</si>
  <si>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</si>
  <si>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</si>
  <si>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</si>
  <si>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</si>
  <si>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</si>
  <si>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</si>
  <si>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</si>
  <si>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</si>
  <si>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</si>
  <si>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</si>
  <si>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</si>
  <si>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</si>
  <si>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</si>
  <si>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</si>
  <si>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</si>
  <si>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</si>
  <si>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</si>
  <si>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</si>
  <si>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</si>
  <si>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</si>
  <si>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</si>
  <si>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</si>
  <si>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</si>
  <si>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</si>
  <si>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</si>
  <si>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</si>
  <si>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</si>
  <si>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</si>
  <si>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</si>
  <si>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</si>
  <si>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</si>
  <si>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</si>
  <si>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</si>
  <si>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</si>
  <si>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</si>
  <si>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</si>
  <si>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</si>
  <si>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</si>
  <si>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</si>
  <si>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</si>
  <si>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</si>
  <si>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</si>
  <si>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</si>
  <si>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</si>
  <si>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</si>
  <si>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</si>
  <si>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</si>
  <si>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</si>
  <si>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</si>
  <si>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</si>
  <si>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</si>
  <si>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</si>
  <si>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</si>
  <si>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</si>
  <si>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</si>
  <si>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</si>
  <si>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</si>
  <si>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</si>
  <si>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</si>
  <si>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</si>
  <si>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</si>
  <si>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</si>
  <si>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</si>
  <si>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</si>
  <si>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</si>
  <si>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</si>
  <si>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</si>
  <si>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</si>
  <si>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</si>
  <si>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</si>
  <si>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</si>
  <si>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</si>
  <si>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</si>
  <si>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</si>
  <si>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</si>
  <si>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</si>
  <si>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</si>
  <si>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</si>
  <si>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</si>
  <si>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</si>
  <si>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</si>
  <si>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</si>
  <si>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</si>
  <si>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</si>
  <si>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</si>
  <si>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</si>
  <si>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</si>
  <si>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</si>
  <si>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</si>
  <si>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</si>
  <si>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</si>
  <si>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</si>
  <si>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</si>
  <si>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</si>
  <si>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</si>
  <si>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</si>
  <si>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</si>
  <si>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</si>
  <si>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</si>
  <si>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</si>
  <si>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</si>
  <si>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</si>
  <si>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</si>
  <si>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</si>
  <si>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</si>
  <si>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</si>
  <si>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</si>
  <si>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</si>
  <si>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</si>
  <si>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</si>
  <si>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</si>
  <si>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</si>
  <si>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</si>
  <si>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</si>
  <si>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</si>
  <si>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</si>
  <si>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</si>
  <si>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</si>
  <si>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</si>
  <si>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</si>
  <si>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</si>
  <si>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</si>
  <si>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</si>
  <si>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</si>
  <si>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</si>
  <si>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</si>
  <si>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</si>
  <si>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</si>
  <si>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</si>
  <si>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</si>
  <si>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</si>
  <si>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</si>
  <si>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</si>
  <si>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</si>
  <si>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</si>
  <si>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</si>
  <si>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</si>
  <si>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</si>
  <si>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</si>
  <si>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</si>
  <si>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</si>
  <si>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</si>
  <si>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</si>
  <si>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</si>
  <si>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</si>
  <si>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</si>
  <si>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</si>
  <si>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</si>
  <si>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</si>
  <si>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</si>
  <si>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</si>
  <si>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</si>
  <si>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</si>
  <si>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</si>
  <si>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</si>
  <si>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</si>
  <si>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</si>
  <si>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</si>
  <si>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</si>
  <si>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</si>
  <si>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06/05</t>
  </si>
  <si>
    <t>10/14</t>
  </si>
  <si>
    <t>MERRIMACK VALLEY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</si>
</sst>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911</v>
      </c>
      <c r="B2" s="21">
        <v>352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2473812.82</f>
        <v>2473812.8199999998</v>
      </c>
      <c r="G9" s="18">
        <f>123808.12</f>
        <v>123808.12</v>
      </c>
      <c r="H9" s="18"/>
      <c r="I9" s="18">
        <v>270611.37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2324.77+32144.46</f>
        <v>34469.229999999996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116820.46</v>
      </c>
      <c r="G12" s="18"/>
      <c r="H12" s="18">
        <f>189052.8</f>
        <v>189052.79999999999</v>
      </c>
      <c r="I12" s="18">
        <v>2669.02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198620.1</v>
      </c>
      <c r="G13" s="18">
        <v>107576</v>
      </c>
      <c r="H13" s="18">
        <f>232808.4+1964</f>
        <v>234772.4</v>
      </c>
      <c r="I13" s="18"/>
      <c r="J13" s="67">
        <f>SUM(I441)</f>
        <v>635614.52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35259.51+1686.26+2272.24</f>
        <v>39218.01</v>
      </c>
      <c r="G14" s="18">
        <v>1904.25</v>
      </c>
      <c r="H14" s="18">
        <v>923.1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16919.41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2862940.6199999996</v>
      </c>
      <c r="G19" s="41">
        <f>SUM(G9:G18)</f>
        <v>250207.78</v>
      </c>
      <c r="H19" s="41">
        <f>SUM(H9:H18)</f>
        <v>424748.29999999993</v>
      </c>
      <c r="I19" s="41">
        <f>SUM(I9:I18)</f>
        <v>273280.39</v>
      </c>
      <c r="J19" s="41">
        <f>SUM(J9:J18)</f>
        <v>635614.52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179430.74</v>
      </c>
      <c r="H22" s="18">
        <f>129111.56</f>
        <v>129111.56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159945.42000000001</v>
      </c>
      <c r="G24" s="18">
        <v>7310.02</v>
      </c>
      <c r="H24" s="18">
        <f>1234.12+8148.3</f>
        <v>9382.42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1752283.75</v>
      </c>
      <c r="G28" s="18">
        <v>45542.59</v>
      </c>
      <c r="H28" s="18">
        <f>95548.54+3537.07</f>
        <v>99085.61</v>
      </c>
      <c r="I28" s="4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7.57-9459.44+23256.17+24657.92</f>
        <v>38462.219999999994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f>38707.8+131234.9</f>
        <v>169942.7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>
        <v>205791.66</v>
      </c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1950691.39</v>
      </c>
      <c r="G32" s="41">
        <f>SUM(G22:G31)</f>
        <v>232283.34999999998</v>
      </c>
      <c r="H32" s="41">
        <f>SUM(H22:H31)</f>
        <v>407522.29000000004</v>
      </c>
      <c r="I32" s="41">
        <f>SUM(I22:I31)</f>
        <v>205791.66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16919.41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299246.69</v>
      </c>
      <c r="G47" s="18">
        <f>0.05+1004.97</f>
        <v>1005.02</v>
      </c>
      <c r="H47" s="18">
        <v>17226.009999999998</v>
      </c>
      <c r="I47" s="18">
        <f>68872.45-1383.72</f>
        <v>67488.73</v>
      </c>
      <c r="J47" s="13">
        <f>SUM(I458)</f>
        <v>635614.52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4"/>
      <c r="H48" s="18"/>
      <c r="I48" s="4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640636.93-27634.39</f>
        <v>613002.54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912249.23</v>
      </c>
      <c r="G50" s="41">
        <f>SUM(G35:G49)</f>
        <v>17924.43</v>
      </c>
      <c r="H50" s="41">
        <f>SUM(H35:H49)</f>
        <v>17226.009999999998</v>
      </c>
      <c r="I50" s="41">
        <f>SUM(I35:I49)</f>
        <v>67488.73</v>
      </c>
      <c r="J50" s="41">
        <f>SUM(J35:J49)</f>
        <v>635614.52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2862940.62</v>
      </c>
      <c r="G51" s="41">
        <f>G50+G32</f>
        <v>250207.77999999997</v>
      </c>
      <c r="H51" s="41">
        <f>H50+H32</f>
        <v>424748.30000000005</v>
      </c>
      <c r="I51" s="41">
        <f>I50+I32</f>
        <v>273280.39</v>
      </c>
      <c r="J51" s="41">
        <f>J50+J32</f>
        <v>635614.52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4618774+2801046+5689440+1672562.02+2083556.12</f>
        <v>16865378.140000001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91247</v>
      </c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16956625.140000001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955853.89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192356.07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1148209.96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4890.75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4890.75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-0.1+72.45</f>
        <v>72.350000000000009</v>
      </c>
      <c r="G95" s="18">
        <v>76.55</v>
      </c>
      <c r="H95" s="18"/>
      <c r="I95" s="18">
        <v>116.28</v>
      </c>
      <c r="J95" s="18">
        <v>1715.85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48134.83+35055.57+49456.7+17678.5+20177.66+179277.85+330193.4</f>
        <v>679974.51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12755.88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39055.15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17413.689999999999</v>
      </c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32718.73</v>
      </c>
      <c r="G109" s="18">
        <v>24000.19</v>
      </c>
      <c r="H109" s="18">
        <v>43479.49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62960.649999999994</v>
      </c>
      <c r="G110" s="41">
        <f>SUM(G95:G109)</f>
        <v>704051.25</v>
      </c>
      <c r="H110" s="41">
        <f>SUM(H95:H109)</f>
        <v>82534.64</v>
      </c>
      <c r="I110" s="41">
        <f>SUM(I95:I109)</f>
        <v>116.28</v>
      </c>
      <c r="J110" s="41">
        <f>SUM(J95:J109)</f>
        <v>1715.85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18172686.5</v>
      </c>
      <c r="G111" s="41">
        <f>G59+G110</f>
        <v>704051.25</v>
      </c>
      <c r="H111" s="41">
        <f>H59+H78+H93+H110</f>
        <v>82534.64</v>
      </c>
      <c r="I111" s="41">
        <f>I59+I110</f>
        <v>116.28</v>
      </c>
      <c r="J111" s="41">
        <f>J59+J110</f>
        <v>1715.85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9715225.4000000004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3383707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8417.6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13107350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1347331.25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154087.82999999999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19942.21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12736.74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1521361.29</v>
      </c>
      <c r="G135" s="41">
        <f>SUM(G122:G134)</f>
        <v>12736.74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14628711.289999999</v>
      </c>
      <c r="G139" s="41">
        <f>G120+SUM(G135:G136)</f>
        <v>12736.74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558705.18999999994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205951.05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 t="s">
        <v>287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363128.73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678843.34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291366.84999999998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18583.52</v>
      </c>
      <c r="H160" s="18">
        <v>282959.67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291366.84999999998</v>
      </c>
      <c r="G161" s="41">
        <f>SUM(G149:G160)</f>
        <v>381712.25</v>
      </c>
      <c r="H161" s="41">
        <f>SUM(H149:H160)</f>
        <v>1726459.25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>
        <v>45609.37</v>
      </c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291366.84999999998</v>
      </c>
      <c r="G168" s="41">
        <f>G146+G161+SUM(G162:G167)</f>
        <v>427321.62</v>
      </c>
      <c r="H168" s="41">
        <f>H146+H161+SUM(H162:H167)</f>
        <v>1726459.25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1400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1400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1400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33092764.640000001</v>
      </c>
      <c r="G192" s="47">
        <f>G111+G139+G168+G191</f>
        <v>1145509.6099999999</v>
      </c>
      <c r="H192" s="47">
        <f>H111+H139+H168+H191</f>
        <v>1808993.89</v>
      </c>
      <c r="I192" s="47">
        <f>I111+I139+I168+I191</f>
        <v>116.28</v>
      </c>
      <c r="J192" s="47">
        <f>J111+J139+J191</f>
        <v>1715.85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57499.6+3611670.68</f>
        <v>3669170.2800000003</v>
      </c>
      <c r="G196" s="18">
        <f>1371504.09+23755.44</f>
        <v>1395259.53</v>
      </c>
      <c r="H196" s="18">
        <f>2357.68</f>
        <v>2357.6799999999998</v>
      </c>
      <c r="I196" s="18">
        <f>65278.74+110491.48</f>
        <v>175770.22</v>
      </c>
      <c r="J196" s="18">
        <v>7135.94</v>
      </c>
      <c r="K196" s="18">
        <v>0</v>
      </c>
      <c r="L196" s="19">
        <f>SUM(F196:K196)</f>
        <v>5249693.6500000004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24604.83+1494203.03</f>
        <v>1518807.86</v>
      </c>
      <c r="G197" s="18">
        <v>647062.80000000005</v>
      </c>
      <c r="H197" s="18">
        <f>49884.82+285284.6</f>
        <v>335169.42</v>
      </c>
      <c r="I197" s="18">
        <f>2658.63+3597.08</f>
        <v>6255.71</v>
      </c>
      <c r="J197" s="18">
        <f>701.16</f>
        <v>701.16</v>
      </c>
      <c r="K197" s="18">
        <v>0</v>
      </c>
      <c r="L197" s="19">
        <f>SUM(F197:K197)</f>
        <v>2507996.9500000002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14100</f>
        <v>14100</v>
      </c>
      <c r="G199" s="18">
        <f>27969.74</f>
        <v>27969.74</v>
      </c>
      <c r="H199" s="18">
        <v>0</v>
      </c>
      <c r="I199" s="18">
        <f>0</f>
        <v>0</v>
      </c>
      <c r="J199" s="18">
        <v>0</v>
      </c>
      <c r="K199" s="18">
        <v>113.4</v>
      </c>
      <c r="L199" s="19">
        <f>SUM(F199:K199)</f>
        <v>42183.140000000007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343688.1+576635.93</f>
        <v>920324.03</v>
      </c>
      <c r="G201" s="18">
        <f>390301.22</f>
        <v>390301.22</v>
      </c>
      <c r="H201" s="18">
        <f>5279.98+260747.83</f>
        <v>266027.81</v>
      </c>
      <c r="I201" s="18">
        <f>1294.24+6336.58</f>
        <v>7630.82</v>
      </c>
      <c r="J201" s="18">
        <f>376.69</f>
        <v>376.69</v>
      </c>
      <c r="K201" s="18">
        <f>417.48+40</f>
        <v>457.48</v>
      </c>
      <c r="L201" s="19">
        <f t="shared" ref="L201:L207" si="0">SUM(F201:K201)</f>
        <v>1585118.05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21999.81+85563.49+86965.17</f>
        <v>194528.47</v>
      </c>
      <c r="G202" s="18">
        <f>41645.16+85578</f>
        <v>127223.16</v>
      </c>
      <c r="H202" s="18">
        <f>3845.5+24411.9+415.67</f>
        <v>28673.07</v>
      </c>
      <c r="I202" s="18">
        <f>521.02+14368.68+9792.93</f>
        <v>24682.63</v>
      </c>
      <c r="J202" s="18">
        <f>38644.23</f>
        <v>38644.230000000003</v>
      </c>
      <c r="K202" s="18">
        <v>0</v>
      </c>
      <c r="L202" s="19">
        <f t="shared" si="0"/>
        <v>413751.56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19975.58</f>
        <v>19975.580000000002</v>
      </c>
      <c r="G203" s="18">
        <f>8782.42</f>
        <v>8782.42</v>
      </c>
      <c r="H203" s="18">
        <f>46172.06+282350.88</f>
        <v>328522.94</v>
      </c>
      <c r="I203" s="18">
        <v>1678.3</v>
      </c>
      <c r="J203" s="18">
        <v>0</v>
      </c>
      <c r="K203" s="18">
        <v>2344.31</v>
      </c>
      <c r="L203" s="19">
        <f t="shared" si="0"/>
        <v>361303.55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513832.63</v>
      </c>
      <c r="G204" s="18">
        <f>183372.84</f>
        <v>183372.84</v>
      </c>
      <c r="H204" s="18">
        <f>21293.45</f>
        <v>21293.45</v>
      </c>
      <c r="I204" s="18">
        <v>7849.28</v>
      </c>
      <c r="J204" s="18">
        <f>20679.79</f>
        <v>20679.79</v>
      </c>
      <c r="K204" s="18">
        <v>2153</v>
      </c>
      <c r="L204" s="19">
        <f t="shared" si="0"/>
        <v>749180.99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1044.23</v>
      </c>
      <c r="I205" s="18">
        <v>0</v>
      </c>
      <c r="J205" s="18">
        <v>0</v>
      </c>
      <c r="K205" s="18">
        <v>0</v>
      </c>
      <c r="L205" s="19">
        <f t="shared" si="0"/>
        <v>1044.23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214806.56+357768.44</f>
        <v>572575</v>
      </c>
      <c r="G206" s="18">
        <f>241411.95</f>
        <v>241411.95</v>
      </c>
      <c r="H206" s="18">
        <f>120110.32+141070.87</f>
        <v>261181.19</v>
      </c>
      <c r="I206" s="18">
        <f>43227.5+391391.48</f>
        <v>434618.98</v>
      </c>
      <c r="J206" s="18">
        <f>17942.43</f>
        <v>17942.43</v>
      </c>
      <c r="K206" s="18">
        <v>0</v>
      </c>
      <c r="L206" s="19">
        <f t="shared" si="0"/>
        <v>1527729.5499999998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364612.65+22476.11</f>
        <v>387088.76</v>
      </c>
      <c r="G207" s="18">
        <v>181699.08</v>
      </c>
      <c r="H207" s="18">
        <f>100307.54</f>
        <v>100307.54</v>
      </c>
      <c r="I207" s="18">
        <f>111632.17</f>
        <v>111632.17</v>
      </c>
      <c r="J207" s="18">
        <f>68579.83</f>
        <v>68579.83</v>
      </c>
      <c r="K207" s="18">
        <f>258.3</f>
        <v>258.3</v>
      </c>
      <c r="L207" s="19">
        <f t="shared" si="0"/>
        <v>849565.68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7810402.6100000003</v>
      </c>
      <c r="G210" s="41">
        <f t="shared" si="1"/>
        <v>3203082.74</v>
      </c>
      <c r="H210" s="41">
        <f t="shared" si="1"/>
        <v>1344577.3299999998</v>
      </c>
      <c r="I210" s="41">
        <f t="shared" si="1"/>
        <v>770118.11</v>
      </c>
      <c r="J210" s="41">
        <f t="shared" si="1"/>
        <v>154060.07</v>
      </c>
      <c r="K210" s="41">
        <f t="shared" si="1"/>
        <v>5326.4900000000007</v>
      </c>
      <c r="L210" s="41">
        <f t="shared" si="1"/>
        <v>13287567.350000001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32856.91+2060256.51</f>
        <v>2093113.42</v>
      </c>
      <c r="G214" s="18">
        <f>783716.62+13574.54</f>
        <v>797291.16</v>
      </c>
      <c r="H214" s="18">
        <v>5292.95</v>
      </c>
      <c r="I214" s="18">
        <f>37302.14+39427.25</f>
        <v>76729.39</v>
      </c>
      <c r="J214" s="18">
        <v>21123.85</v>
      </c>
      <c r="K214" s="18">
        <v>0</v>
      </c>
      <c r="L214" s="19">
        <f>SUM(F214:K214)</f>
        <v>2993550.7700000005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14059.91+587798.49</f>
        <v>601858.4</v>
      </c>
      <c r="G215" s="18">
        <v>369750.17</v>
      </c>
      <c r="H215" s="18">
        <f>28505.61+129449.69</f>
        <v>157955.29999999999</v>
      </c>
      <c r="I215" s="18">
        <f>1519.21+4050.15</f>
        <v>5569.3600000000006</v>
      </c>
      <c r="J215" s="18">
        <f>400.66+713.4</f>
        <v>1114.06</v>
      </c>
      <c r="K215" s="18">
        <v>0</v>
      </c>
      <c r="L215" s="19">
        <f>SUM(F215:K215)</f>
        <v>1136247.2900000003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65056.99</v>
      </c>
      <c r="G217" s="18">
        <f>15982.71</f>
        <v>15982.71</v>
      </c>
      <c r="H217" s="18">
        <f>17494.25</f>
        <v>17494.25</v>
      </c>
      <c r="I217" s="18">
        <v>30000</v>
      </c>
      <c r="J217" s="18">
        <v>0</v>
      </c>
      <c r="K217" s="18">
        <v>64.8</v>
      </c>
      <c r="L217" s="19">
        <f>SUM(F217:K217)</f>
        <v>128598.75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196393.2+354884.87</f>
        <v>551278.07000000007</v>
      </c>
      <c r="G219" s="18">
        <v>223029.27</v>
      </c>
      <c r="H219" s="18">
        <f>18620+3017.13+93462.17</f>
        <v>115099.3</v>
      </c>
      <c r="I219" s="18">
        <f>739.56+2501.42</f>
        <v>3240.98</v>
      </c>
      <c r="J219" s="18">
        <f>215.25+941</f>
        <v>1156.25</v>
      </c>
      <c r="K219" s="18">
        <f>238.56+100</f>
        <v>338.56</v>
      </c>
      <c r="L219" s="19">
        <f t="shared" ref="L219:L225" si="2">SUM(F219:K219)</f>
        <v>894142.43000000017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12571.32+48893.42+71216.53</f>
        <v>132681.26999999999</v>
      </c>
      <c r="G220" s="18">
        <f>23797.23+48901.72</f>
        <v>72698.95</v>
      </c>
      <c r="H220" s="18">
        <f>2197.43+13949.66+90</f>
        <v>16237.09</v>
      </c>
      <c r="I220" s="18">
        <f>297.73+8210.68+9002.01</f>
        <v>17510.419999999998</v>
      </c>
      <c r="J220" s="18">
        <f>22082.41+3853.37</f>
        <v>25935.78</v>
      </c>
      <c r="K220" s="18">
        <v>27.5</v>
      </c>
      <c r="L220" s="19">
        <f t="shared" si="2"/>
        <v>265091.01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11414.62</v>
      </c>
      <c r="G221" s="18">
        <v>5018.5200000000004</v>
      </c>
      <c r="H221" s="18">
        <f>26384.04+161343.36</f>
        <v>187727.4</v>
      </c>
      <c r="I221" s="18">
        <v>959.03</v>
      </c>
      <c r="J221" s="18">
        <v>0</v>
      </c>
      <c r="K221" s="18">
        <v>1339.61</v>
      </c>
      <c r="L221" s="19">
        <f t="shared" si="2"/>
        <v>206459.17999999996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246730.07</v>
      </c>
      <c r="G222" s="18">
        <v>104784.48</v>
      </c>
      <c r="H222" s="18">
        <v>14584.06</v>
      </c>
      <c r="I222" s="18">
        <v>2180.4</v>
      </c>
      <c r="J222" s="18">
        <v>11817.02</v>
      </c>
      <c r="K222" s="18">
        <v>1576</v>
      </c>
      <c r="L222" s="19">
        <f t="shared" si="2"/>
        <v>381672.03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596.70000000000005</v>
      </c>
      <c r="I223" s="18">
        <v>0</v>
      </c>
      <c r="J223" s="18">
        <v>0</v>
      </c>
      <c r="K223" s="18">
        <v>0</v>
      </c>
      <c r="L223" s="19">
        <f t="shared" si="2"/>
        <v>596.70000000000005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122746.6+114591.59</f>
        <v>237338.19</v>
      </c>
      <c r="G224" s="18">
        <v>137949.68</v>
      </c>
      <c r="H224" s="18">
        <f>68634.47+44708.17</f>
        <v>113342.64</v>
      </c>
      <c r="I224" s="18">
        <f>24701.43+125991.85</f>
        <v>150693.28</v>
      </c>
      <c r="J224" s="18">
        <v>10252.81</v>
      </c>
      <c r="K224" s="18">
        <v>0</v>
      </c>
      <c r="L224" s="19">
        <f t="shared" si="2"/>
        <v>649576.60000000009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208350.08+3079</f>
        <v>211429.08</v>
      </c>
      <c r="G225" s="18">
        <v>103828.04</v>
      </c>
      <c r="H225" s="18">
        <v>57318.59</v>
      </c>
      <c r="I225" s="18">
        <v>63789.81</v>
      </c>
      <c r="J225" s="18">
        <v>39188.47</v>
      </c>
      <c r="K225" s="18">
        <v>147.6</v>
      </c>
      <c r="L225" s="19">
        <f t="shared" si="2"/>
        <v>475701.58999999997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4150900.11</v>
      </c>
      <c r="G228" s="41">
        <f>SUM(G214:G227)</f>
        <v>1830332.98</v>
      </c>
      <c r="H228" s="41">
        <f>SUM(H214:H227)</f>
        <v>685648.28</v>
      </c>
      <c r="I228" s="41">
        <f>SUM(I214:I227)</f>
        <v>350672.67</v>
      </c>
      <c r="J228" s="41">
        <f>SUM(J214:J227)</f>
        <v>110588.24</v>
      </c>
      <c r="K228" s="41">
        <f t="shared" si="3"/>
        <v>3494.0699999999997</v>
      </c>
      <c r="L228" s="41">
        <f t="shared" si="3"/>
        <v>7131636.3499999996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46547.29+2285201.54</f>
        <v>2331748.83</v>
      </c>
      <c r="G232" s="18">
        <f>1110265.22+19230.6</f>
        <v>1129495.82</v>
      </c>
      <c r="H232" s="18">
        <v>11646.12</v>
      </c>
      <c r="I232" s="18">
        <f>52844.69+64388.52</f>
        <v>117233.20999999999</v>
      </c>
      <c r="J232" s="18">
        <v>13764.07</v>
      </c>
      <c r="K232" s="18">
        <v>0</v>
      </c>
      <c r="L232" s="19">
        <f>SUM(F232:K232)</f>
        <v>3603888.0500000003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19918.2+877918.51</f>
        <v>897836.71</v>
      </c>
      <c r="G233" s="18">
        <v>523812.74</v>
      </c>
      <c r="H233" s="18">
        <f>40382.95+519640.34</f>
        <v>560023.29</v>
      </c>
      <c r="I233" s="18">
        <f>2152.22+4215.97</f>
        <v>6368.1900000000005</v>
      </c>
      <c r="J233" s="18">
        <f>567.61+850</f>
        <v>1417.6100000000001</v>
      </c>
      <c r="K233" s="18">
        <v>0</v>
      </c>
      <c r="L233" s="19">
        <f>SUM(F233:K233)</f>
        <v>1989458.54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225885.64</v>
      </c>
      <c r="I234" s="18">
        <v>0</v>
      </c>
      <c r="J234" s="18">
        <v>0</v>
      </c>
      <c r="K234" s="18">
        <v>0</v>
      </c>
      <c r="L234" s="19">
        <f>SUM(F234:K234)</f>
        <v>225885.64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256346</v>
      </c>
      <c r="G235" s="18">
        <v>22642.16</v>
      </c>
      <c r="H235" s="18">
        <f>17494.25+513.39</f>
        <v>18007.64</v>
      </c>
      <c r="I235" s="18">
        <v>35000</v>
      </c>
      <c r="J235" s="18">
        <v>0</v>
      </c>
      <c r="K235" s="18">
        <f>91.8+4436.24</f>
        <v>4528.04</v>
      </c>
      <c r="L235" s="19">
        <f>SUM(F235:K235)</f>
        <v>336523.83999999997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278223.7+407468.29</f>
        <v>685691.99</v>
      </c>
      <c r="G237" s="18">
        <v>315958.13</v>
      </c>
      <c r="H237" s="18">
        <v>192010.48</v>
      </c>
      <c r="I237" s="18">
        <f>1047.72+9431.34</f>
        <v>10479.06</v>
      </c>
      <c r="J237" s="18">
        <f>304.94</f>
        <v>304.94</v>
      </c>
      <c r="K237" s="18">
        <f>337.96</f>
        <v>337.96</v>
      </c>
      <c r="L237" s="19">
        <f t="shared" ref="L237:L243" si="4">SUM(F237:K237)</f>
        <v>1204782.56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17809.37+69265.68+98448.8+0.02</f>
        <v>185523.86999999997</v>
      </c>
      <c r="G238" s="18">
        <f>33712.75+69277.43</f>
        <v>102990.18</v>
      </c>
      <c r="H238" s="18">
        <f>3113.02+19762.02+205.79</f>
        <v>23080.83</v>
      </c>
      <c r="I238" s="18">
        <f>421.78+11631.79+14588</f>
        <v>26641.57</v>
      </c>
      <c r="J238" s="18">
        <f>31283.42+1816.48</f>
        <v>33099.9</v>
      </c>
      <c r="K238" s="18">
        <v>0</v>
      </c>
      <c r="L238" s="19">
        <f t="shared" si="4"/>
        <v>371336.35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16170.7</v>
      </c>
      <c r="G239" s="18">
        <v>7109.58</v>
      </c>
      <c r="H239" s="18">
        <f>37377.38+7020.08+228569.76</f>
        <v>272967.22000000003</v>
      </c>
      <c r="I239" s="18">
        <v>1358.63</v>
      </c>
      <c r="J239" s="18">
        <v>0</v>
      </c>
      <c r="K239" s="18">
        <v>1897.78</v>
      </c>
      <c r="L239" s="19">
        <f t="shared" si="4"/>
        <v>299503.91000000003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364184.25</v>
      </c>
      <c r="G240" s="18">
        <v>148444.69</v>
      </c>
      <c r="H240" s="18">
        <v>21072.04</v>
      </c>
      <c r="I240" s="18">
        <v>1854.83</v>
      </c>
      <c r="J240" s="18">
        <v>16740.78</v>
      </c>
      <c r="K240" s="18">
        <v>16115</v>
      </c>
      <c r="L240" s="19">
        <f t="shared" si="4"/>
        <v>568411.59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845.33</v>
      </c>
      <c r="I241" s="18">
        <v>0</v>
      </c>
      <c r="J241" s="18">
        <v>0</v>
      </c>
      <c r="K241" s="18">
        <v>0</v>
      </c>
      <c r="L241" s="19">
        <f t="shared" si="4"/>
        <v>845.33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173891.02+209288.73</f>
        <v>383179.75</v>
      </c>
      <c r="G242" s="18">
        <v>195428.72</v>
      </c>
      <c r="H242" s="18">
        <f>97232.17+101500.64</f>
        <v>198732.81</v>
      </c>
      <c r="I242" s="18">
        <f>34993.69+161459.83</f>
        <v>196453.52</v>
      </c>
      <c r="J242" s="18">
        <v>14524.02</v>
      </c>
      <c r="K242" s="18">
        <v>0</v>
      </c>
      <c r="L242" s="19">
        <f t="shared" si="4"/>
        <v>988318.82000000007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295162.62+50873</f>
        <v>346035.62</v>
      </c>
      <c r="G243" s="18">
        <v>147089.73000000001</v>
      </c>
      <c r="H243" s="18">
        <v>81201.34</v>
      </c>
      <c r="I243" s="18">
        <v>90368.9</v>
      </c>
      <c r="J243" s="18">
        <f>55517.01+0.8</f>
        <v>55517.810000000005</v>
      </c>
      <c r="K243" s="18">
        <v>209.1</v>
      </c>
      <c r="L243" s="19">
        <f t="shared" si="4"/>
        <v>720422.5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 t="s">
        <v>287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5466717.7200000007</v>
      </c>
      <c r="G246" s="41">
        <f t="shared" si="5"/>
        <v>2592971.75</v>
      </c>
      <c r="H246" s="41">
        <f t="shared" si="5"/>
        <v>1605472.7400000002</v>
      </c>
      <c r="I246" s="41">
        <f t="shared" si="5"/>
        <v>485757.91000000003</v>
      </c>
      <c r="J246" s="41">
        <f t="shared" si="5"/>
        <v>135369.13</v>
      </c>
      <c r="K246" s="41">
        <f t="shared" si="5"/>
        <v>23087.879999999997</v>
      </c>
      <c r="L246" s="41">
        <f t="shared" si="5"/>
        <v>10309377.129999999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59666.96+115993.74</f>
        <v>175660.7</v>
      </c>
      <c r="I254" s="18"/>
      <c r="J254" s="18"/>
      <c r="K254" s="18"/>
      <c r="L254" s="19">
        <f t="shared" si="6"/>
        <v>175660.7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175660.7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175660.7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17428020.440000001</v>
      </c>
      <c r="G256" s="41">
        <f t="shared" si="8"/>
        <v>7626387.4700000007</v>
      </c>
      <c r="H256" s="41">
        <f t="shared" si="8"/>
        <v>3811359.0500000003</v>
      </c>
      <c r="I256" s="41">
        <f t="shared" si="8"/>
        <v>1606548.69</v>
      </c>
      <c r="J256" s="41">
        <f t="shared" si="8"/>
        <v>400017.44</v>
      </c>
      <c r="K256" s="41">
        <f t="shared" si="8"/>
        <v>31908.44</v>
      </c>
      <c r="L256" s="41">
        <f t="shared" si="8"/>
        <v>30904241.530000001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1985000</v>
      </c>
      <c r="L259" s="19">
        <f>SUM(F259:K259)</f>
        <v>1985000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229757.5</v>
      </c>
      <c r="L260" s="19">
        <f>SUM(F260:K260)</f>
        <v>229757.5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1400</v>
      </c>
      <c r="L262" s="19">
        <f>SUM(F262:K262)</f>
        <v>1400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 t="s">
        <v>287</v>
      </c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2216157.5</v>
      </c>
      <c r="L269" s="41">
        <f t="shared" si="9"/>
        <v>2216157.5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17428020.440000001</v>
      </c>
      <c r="G270" s="42">
        <f t="shared" si="11"/>
        <v>7626387.4700000007</v>
      </c>
      <c r="H270" s="42">
        <f t="shared" si="11"/>
        <v>3811359.0500000003</v>
      </c>
      <c r="I270" s="42">
        <f t="shared" si="11"/>
        <v>1606548.69</v>
      </c>
      <c r="J270" s="42">
        <f t="shared" si="11"/>
        <v>400017.44</v>
      </c>
      <c r="K270" s="42">
        <f t="shared" si="11"/>
        <v>2248065.94</v>
      </c>
      <c r="L270" s="42">
        <f t="shared" si="11"/>
        <v>33120399.030000001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1427.16</v>
      </c>
      <c r="G275" s="18">
        <v>114.79</v>
      </c>
      <c r="H275" s="18">
        <f>12512.69+18300</f>
        <v>30812.690000000002</v>
      </c>
      <c r="I275" s="18">
        <f>271.18+1191.02</f>
        <v>1462.2</v>
      </c>
      <c r="J275" s="18"/>
      <c r="K275" s="18"/>
      <c r="L275" s="19">
        <f>SUM(F275:K275)</f>
        <v>33816.840000000004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8701.71+332364.24</f>
        <v>341065.95</v>
      </c>
      <c r="G276" s="18">
        <f>78840.98</f>
        <v>78840.98</v>
      </c>
      <c r="H276" s="18">
        <f>10233.98+1049.05+1738.97</f>
        <v>13021.999999999998</v>
      </c>
      <c r="I276" s="18">
        <f>15221.02+2933.13</f>
        <v>18154.150000000001</v>
      </c>
      <c r="J276" s="18">
        <f>28107.83+5381.44</f>
        <v>33489.270000000004</v>
      </c>
      <c r="K276" s="18"/>
      <c r="L276" s="19">
        <f>SUM(F276:K276)</f>
        <v>484572.35000000003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1191.4+28451.79</f>
        <v>29643.190000000002</v>
      </c>
      <c r="G278" s="18">
        <v>2939.49</v>
      </c>
      <c r="H278" s="18">
        <f>14211.6</f>
        <v>14211.6</v>
      </c>
      <c r="I278" s="18">
        <f>195.39+1643.77</f>
        <v>1839.1599999999999</v>
      </c>
      <c r="J278" s="18"/>
      <c r="K278" s="18"/>
      <c r="L278" s="19">
        <f>SUM(F278:K278)</f>
        <v>48633.440000000002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55532.58</f>
        <v>55532.58</v>
      </c>
      <c r="G280" s="18">
        <f>15902.92</f>
        <v>15902.92</v>
      </c>
      <c r="H280" s="18">
        <f>18502.92+60000</f>
        <v>78502.92</v>
      </c>
      <c r="I280" s="18"/>
      <c r="J280" s="18"/>
      <c r="K280" s="18"/>
      <c r="L280" s="19">
        <f t="shared" ref="L280:L286" si="12">SUM(F280:K280)</f>
        <v>149938.41999999998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29347.82</v>
      </c>
      <c r="G281" s="18">
        <v>14017.05</v>
      </c>
      <c r="H281" s="18">
        <v>52025.37</v>
      </c>
      <c r="I281" s="18">
        <v>927.54</v>
      </c>
      <c r="J281" s="18">
        <v>15710.47</v>
      </c>
      <c r="K281" s="18"/>
      <c r="L281" s="19">
        <f t="shared" si="12"/>
        <v>112028.24999999999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7980</v>
      </c>
      <c r="G282" s="18">
        <v>610.47</v>
      </c>
      <c r="H282" s="18"/>
      <c r="I282" s="18"/>
      <c r="J282" s="18"/>
      <c r="K282" s="18"/>
      <c r="L282" s="19">
        <f t="shared" si="12"/>
        <v>8590.4699999999993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8745.73</v>
      </c>
      <c r="L284" s="19">
        <f t="shared" si="12"/>
        <v>8745.73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464996.7</v>
      </c>
      <c r="G289" s="42">
        <f t="shared" si="13"/>
        <v>112425.7</v>
      </c>
      <c r="H289" s="42">
        <f t="shared" si="13"/>
        <v>188574.58</v>
      </c>
      <c r="I289" s="42">
        <f t="shared" si="13"/>
        <v>22383.050000000003</v>
      </c>
      <c r="J289" s="42">
        <f t="shared" si="13"/>
        <v>49199.740000000005</v>
      </c>
      <c r="K289" s="42">
        <f t="shared" si="13"/>
        <v>8745.73</v>
      </c>
      <c r="L289" s="41">
        <f t="shared" si="13"/>
        <v>846325.5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815.52+141479.84</f>
        <v>142295.35999999999</v>
      </c>
      <c r="G294" s="18">
        <v>65.599999999999994</v>
      </c>
      <c r="H294" s="18">
        <f>7150.11</f>
        <v>7150.11</v>
      </c>
      <c r="I294" s="18">
        <f>154.96</f>
        <v>154.96</v>
      </c>
      <c r="J294" s="18"/>
      <c r="K294" s="18"/>
      <c r="L294" s="19">
        <f>SUM(F294:K294)</f>
        <v>149666.02999999997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4972.4+114928.4</f>
        <v>119900.79999999999</v>
      </c>
      <c r="G295" s="18">
        <v>45051.99</v>
      </c>
      <c r="H295" s="18">
        <f>5847.99+993.7</f>
        <v>6841.69</v>
      </c>
      <c r="I295" s="18">
        <f>8697.72+830.43</f>
        <v>9528.15</v>
      </c>
      <c r="J295" s="18">
        <v>16061.62</v>
      </c>
      <c r="K295" s="18"/>
      <c r="L295" s="19">
        <f>SUM(F295:K295)</f>
        <v>197384.24999999997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f>680.8+17443.23</f>
        <v>18124.03</v>
      </c>
      <c r="G297" s="18">
        <v>1679.71</v>
      </c>
      <c r="H297" s="18">
        <v>0</v>
      </c>
      <c r="I297" s="18">
        <v>111.65</v>
      </c>
      <c r="J297" s="18"/>
      <c r="K297" s="18"/>
      <c r="L297" s="19">
        <f>SUM(F297:K297)</f>
        <v>19915.39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31732.9</v>
      </c>
      <c r="G299" s="18">
        <v>9087.3799999999992</v>
      </c>
      <c r="H299" s="18">
        <f>10573.09</f>
        <v>10573.09</v>
      </c>
      <c r="I299" s="18"/>
      <c r="J299" s="18"/>
      <c r="K299" s="18"/>
      <c r="L299" s="19">
        <f t="shared" ref="L299:L305" si="14">SUM(F299:K299)</f>
        <v>51393.369999999995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16770.18</v>
      </c>
      <c r="G300" s="18">
        <v>8009.75</v>
      </c>
      <c r="H300" s="18">
        <v>29728.79</v>
      </c>
      <c r="I300" s="18">
        <v>530.02</v>
      </c>
      <c r="J300" s="18">
        <v>8977.41</v>
      </c>
      <c r="K300" s="18"/>
      <c r="L300" s="19">
        <f t="shared" si="14"/>
        <v>64016.149999999994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4560</v>
      </c>
      <c r="G301" s="18">
        <v>348.84</v>
      </c>
      <c r="H301" s="18"/>
      <c r="I301" s="18"/>
      <c r="J301" s="18"/>
      <c r="K301" s="18"/>
      <c r="L301" s="19">
        <f t="shared" si="14"/>
        <v>4908.84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v>4997.5600000000004</v>
      </c>
      <c r="L303" s="19">
        <f t="shared" si="14"/>
        <v>4997.5600000000004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333383.26999999996</v>
      </c>
      <c r="G308" s="42">
        <f t="shared" si="15"/>
        <v>64243.26999999999</v>
      </c>
      <c r="H308" s="42">
        <f t="shared" si="15"/>
        <v>54293.68</v>
      </c>
      <c r="I308" s="42">
        <f t="shared" si="15"/>
        <v>10324.779999999999</v>
      </c>
      <c r="J308" s="42">
        <f t="shared" si="15"/>
        <v>25039.03</v>
      </c>
      <c r="K308" s="42">
        <f t="shared" si="15"/>
        <v>4997.5600000000004</v>
      </c>
      <c r="L308" s="41">
        <f t="shared" si="15"/>
        <v>492281.58999999997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1155.32+141479.83</f>
        <v>142635.15</v>
      </c>
      <c r="G313" s="18">
        <v>92.93</v>
      </c>
      <c r="H313" s="18">
        <v>10129.32</v>
      </c>
      <c r="I313" s="18">
        <f>219.53+2384.58</f>
        <v>2604.11</v>
      </c>
      <c r="J313" s="18"/>
      <c r="K313" s="18"/>
      <c r="L313" s="19">
        <f>SUM(F313:K313)</f>
        <v>155461.50999999998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7044.24</v>
      </c>
      <c r="G314" s="18">
        <v>63823.65</v>
      </c>
      <c r="H314" s="18">
        <f>8284.65+1407.74</f>
        <v>9692.39</v>
      </c>
      <c r="I314" s="18">
        <f>12321.78+258.46</f>
        <v>12580.24</v>
      </c>
      <c r="J314" s="18">
        <v>22753.96</v>
      </c>
      <c r="K314" s="18"/>
      <c r="L314" s="19">
        <f>SUM(F314:K314)</f>
        <v>115894.48000000001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f>964.47+1975.3</f>
        <v>2939.77</v>
      </c>
      <c r="G316" s="18">
        <v>2379.59</v>
      </c>
      <c r="H316" s="18">
        <v>856</v>
      </c>
      <c r="I316" s="18">
        <v>158.16999999999999</v>
      </c>
      <c r="J316" s="18"/>
      <c r="K316" s="18"/>
      <c r="L316" s="19">
        <f>SUM(F316:K316)</f>
        <v>6333.5300000000007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44954.94</v>
      </c>
      <c r="G318" s="18">
        <v>12873.79</v>
      </c>
      <c r="H318" s="18">
        <v>14978.55</v>
      </c>
      <c r="I318" s="18"/>
      <c r="J318" s="18"/>
      <c r="K318" s="18"/>
      <c r="L318" s="19">
        <f t="shared" ref="L318:L324" si="16">SUM(F318:K318)</f>
        <v>72807.28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23757.759999999998</v>
      </c>
      <c r="G319" s="18">
        <v>11347.14</v>
      </c>
      <c r="H319" s="18">
        <v>42115.78</v>
      </c>
      <c r="I319" s="18">
        <v>750.86</v>
      </c>
      <c r="J319" s="18">
        <v>12718</v>
      </c>
      <c r="K319" s="18"/>
      <c r="L319" s="19">
        <f t="shared" si="16"/>
        <v>90689.54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6460</v>
      </c>
      <c r="G320" s="18">
        <v>494.19</v>
      </c>
      <c r="H320" s="18"/>
      <c r="I320" s="18"/>
      <c r="J320" s="18"/>
      <c r="K320" s="18"/>
      <c r="L320" s="19">
        <f t="shared" si="16"/>
        <v>6954.19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v>7079.87</v>
      </c>
      <c r="L322" s="19">
        <f t="shared" si="16"/>
        <v>7079.87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227791.86</v>
      </c>
      <c r="G327" s="42">
        <f t="shared" si="17"/>
        <v>91011.29</v>
      </c>
      <c r="H327" s="42">
        <f t="shared" si="17"/>
        <v>77772.039999999994</v>
      </c>
      <c r="I327" s="42">
        <f t="shared" si="17"/>
        <v>16093.380000000001</v>
      </c>
      <c r="J327" s="42">
        <f t="shared" si="17"/>
        <v>35471.96</v>
      </c>
      <c r="K327" s="42">
        <f t="shared" si="17"/>
        <v>7079.87</v>
      </c>
      <c r="L327" s="41">
        <f t="shared" si="17"/>
        <v>455220.4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f>11082.6</f>
        <v>11082.6</v>
      </c>
      <c r="G334" s="18"/>
      <c r="H334" s="18"/>
      <c r="I334" s="18"/>
      <c r="J334" s="18"/>
      <c r="K334" s="18"/>
      <c r="L334" s="19">
        <f t="shared" si="18"/>
        <v>11082.6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>
        <v>2092.3200000000002</v>
      </c>
      <c r="H335" s="18">
        <v>1991.5</v>
      </c>
      <c r="I335" s="18"/>
      <c r="J335" s="18"/>
      <c r="K335" s="18"/>
      <c r="L335" s="19">
        <f t="shared" si="18"/>
        <v>4083.82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11082.6</v>
      </c>
      <c r="G336" s="41">
        <f t="shared" si="19"/>
        <v>2092.3200000000002</v>
      </c>
      <c r="H336" s="41">
        <f t="shared" si="19"/>
        <v>1991.5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15166.42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1037254.4299999999</v>
      </c>
      <c r="G337" s="41">
        <f t="shared" si="20"/>
        <v>269772.57999999996</v>
      </c>
      <c r="H337" s="41">
        <f t="shared" si="20"/>
        <v>322631.8</v>
      </c>
      <c r="I337" s="41">
        <f t="shared" si="20"/>
        <v>48801.210000000006</v>
      </c>
      <c r="J337" s="41">
        <f t="shared" si="20"/>
        <v>109710.73000000001</v>
      </c>
      <c r="K337" s="41">
        <f t="shared" si="20"/>
        <v>20823.16</v>
      </c>
      <c r="L337" s="41">
        <f t="shared" si="20"/>
        <v>1808993.9099999997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1037254.4299999999</v>
      </c>
      <c r="G351" s="41">
        <f>G337</f>
        <v>269772.57999999996</v>
      </c>
      <c r="H351" s="41">
        <f>H337</f>
        <v>322631.8</v>
      </c>
      <c r="I351" s="41">
        <f>I337</f>
        <v>48801.210000000006</v>
      </c>
      <c r="J351" s="41">
        <f>J337</f>
        <v>109710.73000000001</v>
      </c>
      <c r="K351" s="47">
        <f>K337+K350</f>
        <v>20823.16</v>
      </c>
      <c r="L351" s="41">
        <f>L337+L350</f>
        <v>1808993.9099999997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32160.77+147075.49+1174.95</f>
        <v>180411.21</v>
      </c>
      <c r="G357" s="18">
        <f>34645.56+89.95</f>
        <v>34735.509999999995</v>
      </c>
      <c r="H357" s="18">
        <f>1993.74+7386.25</f>
        <v>9379.99</v>
      </c>
      <c r="I357" s="18">
        <v>185741.67</v>
      </c>
      <c r="J357" s="18">
        <v>1419.42</v>
      </c>
      <c r="K357" s="18">
        <v>147.21</v>
      </c>
      <c r="L357" s="13">
        <f>SUM(F357:K357)</f>
        <v>411835.01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18377.58+71628</f>
        <v>90005.58</v>
      </c>
      <c r="G358" s="18">
        <f>19797.46</f>
        <v>19797.46</v>
      </c>
      <c r="H358" s="18">
        <f>1139.28+3104.27</f>
        <v>4243.55</v>
      </c>
      <c r="I358" s="18">
        <f>137416.63</f>
        <v>137416.63</v>
      </c>
      <c r="J358" s="18">
        <v>811.1</v>
      </c>
      <c r="K358" s="18">
        <v>84.12</v>
      </c>
      <c r="L358" s="19">
        <f>SUM(F358:K358)</f>
        <v>252358.44000000003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26034.91+131476.86</f>
        <v>157511.76999999999</v>
      </c>
      <c r="G359" s="18">
        <v>28046.41</v>
      </c>
      <c r="H359" s="18">
        <f>1613.98+10957.85</f>
        <v>12571.83</v>
      </c>
      <c r="I359" s="18">
        <f>263594.34+16605.62+320.03</f>
        <v>280519.99000000005</v>
      </c>
      <c r="J359" s="18">
        <f>1149.06+713</f>
        <v>1862.06</v>
      </c>
      <c r="K359" s="18">
        <v>119.17</v>
      </c>
      <c r="L359" s="19">
        <f>SUM(F359:K359)</f>
        <v>480631.23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427928.55999999994</v>
      </c>
      <c r="G361" s="47">
        <f t="shared" si="22"/>
        <v>82579.37999999999</v>
      </c>
      <c r="H361" s="47">
        <f t="shared" si="22"/>
        <v>26195.370000000003</v>
      </c>
      <c r="I361" s="47">
        <f t="shared" si="22"/>
        <v>603678.29</v>
      </c>
      <c r="J361" s="47">
        <f t="shared" si="22"/>
        <v>4092.58</v>
      </c>
      <c r="K361" s="47">
        <f t="shared" si="22"/>
        <v>350.5</v>
      </c>
      <c r="L361" s="47">
        <f t="shared" si="22"/>
        <v>1144824.6800000002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151506.56</v>
      </c>
      <c r="G366" s="18">
        <v>121103.58</v>
      </c>
      <c r="H366" s="18">
        <f>232793.93+16174.86</f>
        <v>248968.78999999998</v>
      </c>
      <c r="I366" s="56">
        <f>SUM(F366:H366)</f>
        <v>521578.93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8400.19+20901.14+4933.78</f>
        <v>34235.11</v>
      </c>
      <c r="G367" s="63">
        <f>5282.28+10414.8+615.97</f>
        <v>16313.049999999997</v>
      </c>
      <c r="H367" s="63">
        <f>16396.79+14293.43+430.76+110.19+320.03</f>
        <v>31551.199999999997</v>
      </c>
      <c r="I367" s="56">
        <f>SUM(F367:H367)</f>
        <v>82099.359999999986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185741.66999999998</v>
      </c>
      <c r="G368" s="47">
        <f>SUM(G366:G367)</f>
        <v>137416.63</v>
      </c>
      <c r="H368" s="47">
        <f>SUM(H366:H367)</f>
        <v>280519.99</v>
      </c>
      <c r="I368" s="47">
        <f>SUM(I366:I367)</f>
        <v>603678.29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4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1500</v>
      </c>
      <c r="I374" s="18"/>
      <c r="J374" s="18"/>
      <c r="K374" s="18"/>
      <c r="L374" s="13">
        <f t="shared" ref="L374:L380" si="23">SUM(F374:K374)</f>
        <v>1500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>SUM(H374:H380)</f>
        <v>1500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1500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551.28</v>
      </c>
      <c r="I395" s="18"/>
      <c r="J395" s="24" t="s">
        <v>289</v>
      </c>
      <c r="K395" s="24" t="s">
        <v>289</v>
      </c>
      <c r="L395" s="56">
        <f t="shared" si="26"/>
        <v>551.28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900.82</v>
      </c>
      <c r="I396" s="18"/>
      <c r="J396" s="24" t="s">
        <v>289</v>
      </c>
      <c r="K396" s="24" t="s">
        <v>289</v>
      </c>
      <c r="L396" s="56">
        <f t="shared" si="26"/>
        <v>900.82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263.75</v>
      </c>
      <c r="I397" s="18"/>
      <c r="J397" s="24" t="s">
        <v>289</v>
      </c>
      <c r="K397" s="24" t="s">
        <v>289</v>
      </c>
      <c r="L397" s="56">
        <f t="shared" si="26"/>
        <v>263.75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1715.85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1715.85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1715.85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1715.85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 t="s">
        <v>287</v>
      </c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f>149346.39+202880.4+283387.73</f>
        <v>635614.52</v>
      </c>
      <c r="H441" s="18"/>
      <c r="I441" s="56">
        <f t="shared" si="33"/>
        <v>635614.52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635614.52</v>
      </c>
      <c r="H445" s="13">
        <f>SUM(H438:H444)</f>
        <v>0</v>
      </c>
      <c r="I445" s="13">
        <f>SUM(I438:I444)</f>
        <v>635614.52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635614.52</v>
      </c>
      <c r="H458" s="18"/>
      <c r="I458" s="56">
        <f t="shared" si="34"/>
        <v>635614.52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635614.52</v>
      </c>
      <c r="H459" s="83">
        <f>SUM(H453:H458)</f>
        <v>0</v>
      </c>
      <c r="I459" s="83">
        <f>SUM(I453:I458)</f>
        <v>635614.52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635614.52</v>
      </c>
      <c r="H460" s="42">
        <f>H451+H459</f>
        <v>0</v>
      </c>
      <c r="I460" s="42">
        <f>I451+I459</f>
        <v>635614.52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f>299246.69+640636.93</f>
        <v>939883.62000000011</v>
      </c>
      <c r="G464" s="18">
        <v>11586.95</v>
      </c>
      <c r="H464" s="18">
        <v>17226.03</v>
      </c>
      <c r="I464" s="18">
        <v>68872.45</v>
      </c>
      <c r="J464" s="18">
        <v>633898.67000000004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33092764.640000001</v>
      </c>
      <c r="G467" s="18">
        <v>1145509.6100000001</v>
      </c>
      <c r="H467" s="18">
        <f>1726459.25+39055.15+43479.49</f>
        <v>1808993.89</v>
      </c>
      <c r="I467" s="18">
        <v>116.28</v>
      </c>
      <c r="J467" s="18">
        <v>1715.85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5652.5510000000004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33092764.640000001</v>
      </c>
      <c r="G469" s="53">
        <f>SUM(G467:G468)</f>
        <v>1151162.1610000001</v>
      </c>
      <c r="H469" s="53">
        <f>SUM(H467:H468)</f>
        <v>1808993.89</v>
      </c>
      <c r="I469" s="53">
        <f>SUM(I467:I468)</f>
        <v>116.28</v>
      </c>
      <c r="J469" s="53">
        <f>SUM(J467:J468)</f>
        <v>1715.85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33120399.03</f>
        <v>33120399.030000001</v>
      </c>
      <c r="G471" s="18">
        <f>1144504.65+320.03</f>
        <v>1144824.68</v>
      </c>
      <c r="H471" s="18">
        <v>1808993.91</v>
      </c>
      <c r="I471" s="18">
        <v>1500</v>
      </c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33120399.030000001</v>
      </c>
      <c r="G473" s="53">
        <f>SUM(G471:G472)</f>
        <v>1144824.68</v>
      </c>
      <c r="H473" s="53">
        <f>SUM(H471:H472)</f>
        <v>1808993.91</v>
      </c>
      <c r="I473" s="53">
        <f>SUM(I471:I472)</f>
        <v>1500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912249.22999999672</v>
      </c>
      <c r="G475" s="53">
        <f>(G464+G469)- G473</f>
        <v>17924.431000000099</v>
      </c>
      <c r="H475" s="53">
        <f>(H464+H469)- H473</f>
        <v>17226.010000000009</v>
      </c>
      <c r="I475" s="53">
        <f>(I464+I469)- I473</f>
        <v>67488.73</v>
      </c>
      <c r="J475" s="53">
        <f>(J464+J469)- J473</f>
        <v>635614.52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>
        <v>10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 t="s">
        <v>909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 t="s">
        <v>910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>
        <v>19036029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>
        <v>3.25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>
        <f>9910000-1985000</f>
        <v>7925000</v>
      </c>
      <c r="H494" s="18"/>
      <c r="I494" s="18"/>
      <c r="J494" s="18"/>
      <c r="K494" s="53">
        <f>SUM(F494:J494)</f>
        <v>7925000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>
        <v>11985000</v>
      </c>
      <c r="H496" s="18"/>
      <c r="I496" s="18"/>
      <c r="J496" s="18"/>
      <c r="K496" s="53">
        <f t="shared" si="35"/>
        <v>11985000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>
        <f>1980000+1980000+1980000</f>
        <v>5940000</v>
      </c>
      <c r="H497" s="205"/>
      <c r="I497" s="205"/>
      <c r="J497" s="205"/>
      <c r="K497" s="206">
        <f t="shared" si="35"/>
        <v>5940000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>
        <f>99495+67320+67320+24650+34650</f>
        <v>293435</v>
      </c>
      <c r="H498" s="18"/>
      <c r="I498" s="18"/>
      <c r="J498" s="18"/>
      <c r="K498" s="53">
        <f t="shared" si="35"/>
        <v>293435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6233435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6233435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>
        <v>1980000</v>
      </c>
      <c r="H500" s="205"/>
      <c r="I500" s="205"/>
      <c r="J500" s="205"/>
      <c r="K500" s="206">
        <f t="shared" si="35"/>
        <v>1980000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>
        <f>99495+67320</f>
        <v>166815</v>
      </c>
      <c r="H501" s="18"/>
      <c r="I501" s="18"/>
      <c r="J501" s="18"/>
      <c r="K501" s="53">
        <f t="shared" si="35"/>
        <v>166815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2146815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2146815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1541051.52</v>
      </c>
      <c r="G520" s="18">
        <v>570889</v>
      </c>
      <c r="H520" s="18">
        <v>990.23</v>
      </c>
      <c r="I520" s="18">
        <v>73823.490000000005</v>
      </c>
      <c r="J520" s="18">
        <v>2997.09</v>
      </c>
      <c r="K520" s="18"/>
      <c r="L520" s="88">
        <f>SUM(F520:K520)</f>
        <v>2189751.33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502347.22</v>
      </c>
      <c r="G521" s="18">
        <v>191349.88</v>
      </c>
      <c r="H521" s="18">
        <v>1270.31</v>
      </c>
      <c r="I521" s="18">
        <v>18415.05</v>
      </c>
      <c r="J521" s="18">
        <v>5069.72</v>
      </c>
      <c r="K521" s="18"/>
      <c r="L521" s="88">
        <f>SUM(F521:K521)</f>
        <v>718452.18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792794.6</v>
      </c>
      <c r="G522" s="18">
        <v>384028.58</v>
      </c>
      <c r="H522" s="18">
        <v>3959.68</v>
      </c>
      <c r="I522" s="18">
        <v>39859.29</v>
      </c>
      <c r="J522" s="18">
        <v>4679.78</v>
      </c>
      <c r="K522" s="18"/>
      <c r="L522" s="88">
        <f>SUM(F522:K522)</f>
        <v>1225321.93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2836193.34</v>
      </c>
      <c r="G523" s="108">
        <f t="shared" ref="G523:L523" si="36">SUM(G520:G522)</f>
        <v>1146267.46</v>
      </c>
      <c r="H523" s="108">
        <f t="shared" si="36"/>
        <v>6220.2199999999993</v>
      </c>
      <c r="I523" s="108">
        <f t="shared" si="36"/>
        <v>132097.83000000002</v>
      </c>
      <c r="J523" s="108">
        <f t="shared" si="36"/>
        <v>12746.59</v>
      </c>
      <c r="K523" s="108">
        <f t="shared" si="36"/>
        <v>0</v>
      </c>
      <c r="L523" s="89">
        <f t="shared" si="36"/>
        <v>4133525.4400000004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169564.77</v>
      </c>
      <c r="G525" s="18">
        <v>66014.22</v>
      </c>
      <c r="H525" s="18">
        <v>266027.81</v>
      </c>
      <c r="I525" s="18">
        <v>235.48</v>
      </c>
      <c r="J525" s="18"/>
      <c r="K525" s="18"/>
      <c r="L525" s="88">
        <f>SUM(F525:K525)</f>
        <v>501842.27999999997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81420.92</v>
      </c>
      <c r="G526" s="18">
        <v>37722.410000000003</v>
      </c>
      <c r="H526" s="18">
        <v>115099.3</v>
      </c>
      <c r="I526" s="18">
        <v>87.22</v>
      </c>
      <c r="J526" s="18"/>
      <c r="K526" s="18"/>
      <c r="L526" s="88">
        <f>SUM(F526:K526)</f>
        <v>234329.85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120180.8</v>
      </c>
      <c r="G527" s="18">
        <v>53440.09</v>
      </c>
      <c r="H527" s="18">
        <v>192010.48</v>
      </c>
      <c r="I527" s="18">
        <v>37.04</v>
      </c>
      <c r="J527" s="18"/>
      <c r="K527" s="18"/>
      <c r="L527" s="88">
        <f>SUM(F527:K527)</f>
        <v>365668.41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371166.49</v>
      </c>
      <c r="G528" s="89">
        <f t="shared" ref="G528:L528" si="37">SUM(G525:G527)</f>
        <v>157176.72</v>
      </c>
      <c r="H528" s="89">
        <f t="shared" si="37"/>
        <v>573137.59</v>
      </c>
      <c r="I528" s="89">
        <f t="shared" si="37"/>
        <v>359.74</v>
      </c>
      <c r="J528" s="89">
        <f t="shared" si="37"/>
        <v>0</v>
      </c>
      <c r="K528" s="89">
        <f t="shared" si="37"/>
        <v>0</v>
      </c>
      <c r="L528" s="89">
        <f t="shared" si="37"/>
        <v>1101840.54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92489.87</v>
      </c>
      <c r="G530" s="18">
        <v>45843.21</v>
      </c>
      <c r="H530" s="18">
        <v>7878.58</v>
      </c>
      <c r="I530" s="18">
        <v>235.48</v>
      </c>
      <c r="J530" s="18">
        <v>413.6</v>
      </c>
      <c r="K530" s="18">
        <v>818.14</v>
      </c>
      <c r="L530" s="88">
        <f>SUM(F530:K530)</f>
        <v>147678.88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98692.03</v>
      </c>
      <c r="G531" s="18">
        <v>26196.12</v>
      </c>
      <c r="H531" s="18">
        <v>22502.31</v>
      </c>
      <c r="I531" s="18">
        <v>261.64999999999998</v>
      </c>
      <c r="J531" s="18">
        <v>236.34</v>
      </c>
      <c r="K531" s="18">
        <v>299.44</v>
      </c>
      <c r="L531" s="88">
        <f>SUM(F531:K531)</f>
        <v>148187.88999999998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127464.49</v>
      </c>
      <c r="G532" s="18">
        <v>37111.17</v>
      </c>
      <c r="H532" s="18">
        <v>31103.69</v>
      </c>
      <c r="I532" s="18">
        <v>222.22</v>
      </c>
      <c r="J532" s="18">
        <v>334.82</v>
      </c>
      <c r="K532" s="18">
        <v>322.60000000000002</v>
      </c>
      <c r="L532" s="88">
        <f>SUM(F532:K532)</f>
        <v>196558.99000000002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318646.39</v>
      </c>
      <c r="G533" s="89">
        <f t="shared" ref="G533:L533" si="38">SUM(G530:G532)</f>
        <v>109150.5</v>
      </c>
      <c r="H533" s="89">
        <f t="shared" si="38"/>
        <v>61484.58</v>
      </c>
      <c r="I533" s="89">
        <f t="shared" si="38"/>
        <v>719.35</v>
      </c>
      <c r="J533" s="89">
        <f t="shared" si="38"/>
        <v>984.76</v>
      </c>
      <c r="K533" s="89">
        <f t="shared" si="38"/>
        <v>1440.1799999999998</v>
      </c>
      <c r="L533" s="89">
        <f t="shared" si="38"/>
        <v>492425.76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0</v>
      </c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0</v>
      </c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7020.08</v>
      </c>
      <c r="I537" s="18"/>
      <c r="J537" s="18"/>
      <c r="K537" s="18"/>
      <c r="L537" s="88">
        <f>SUM(F537:K537)</f>
        <v>7020.08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7020.08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7020.08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85159.53</v>
      </c>
      <c r="G540" s="18">
        <v>36339.82</v>
      </c>
      <c r="H540" s="18">
        <v>54166.07</v>
      </c>
      <c r="I540" s="18">
        <v>29024.36</v>
      </c>
      <c r="J540" s="18">
        <v>2997.09</v>
      </c>
      <c r="K540" s="18">
        <v>108.49</v>
      </c>
      <c r="L540" s="88">
        <f>SUM(F540:K540)</f>
        <v>207795.36000000002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48628.69</v>
      </c>
      <c r="G541" s="18">
        <v>20765.61</v>
      </c>
      <c r="H541" s="18">
        <v>22502.31</v>
      </c>
      <c r="I541" s="18">
        <v>16585.349999999999</v>
      </c>
      <c r="J541" s="18">
        <v>5069.72</v>
      </c>
      <c r="K541" s="18">
        <v>35.42</v>
      </c>
      <c r="L541" s="88">
        <f>SUM(F541:K541)</f>
        <v>113587.09999999999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69207.12</v>
      </c>
      <c r="G542" s="18">
        <v>29417.95</v>
      </c>
      <c r="H542" s="18">
        <v>31103.69</v>
      </c>
      <c r="I542" s="18">
        <v>23495.91</v>
      </c>
      <c r="J542" s="18">
        <v>4679.78</v>
      </c>
      <c r="K542" s="18">
        <v>71.09</v>
      </c>
      <c r="L542" s="88">
        <f>SUM(F542:K542)</f>
        <v>157975.53999999998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202995.34</v>
      </c>
      <c r="G543" s="194">
        <f t="shared" ref="G543:L543" si="40">SUM(G540:G542)</f>
        <v>86523.38</v>
      </c>
      <c r="H543" s="194">
        <f t="shared" si="40"/>
        <v>107772.07</v>
      </c>
      <c r="I543" s="194">
        <f t="shared" si="40"/>
        <v>69105.62</v>
      </c>
      <c r="J543" s="194">
        <f t="shared" si="40"/>
        <v>12746.59</v>
      </c>
      <c r="K543" s="194">
        <f t="shared" si="40"/>
        <v>215</v>
      </c>
      <c r="L543" s="194">
        <f t="shared" si="40"/>
        <v>479358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3729001.56</v>
      </c>
      <c r="G544" s="89">
        <f t="shared" ref="G544:L544" si="41">G523+G528+G533+G538+G543</f>
        <v>1499118.06</v>
      </c>
      <c r="H544" s="89">
        <f t="shared" si="41"/>
        <v>755634.5399999998</v>
      </c>
      <c r="I544" s="89">
        <f t="shared" si="41"/>
        <v>202282.54</v>
      </c>
      <c r="J544" s="89">
        <f t="shared" si="41"/>
        <v>26477.940000000002</v>
      </c>
      <c r="K544" s="89">
        <f t="shared" si="41"/>
        <v>1655.1799999999998</v>
      </c>
      <c r="L544" s="89">
        <f t="shared" si="41"/>
        <v>6214169.8200000003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2189751.33</v>
      </c>
      <c r="G548" s="87">
        <f>L525</f>
        <v>501842.27999999997</v>
      </c>
      <c r="H548" s="87">
        <f>L530</f>
        <v>147678.88</v>
      </c>
      <c r="I548" s="87">
        <f>L535</f>
        <v>0</v>
      </c>
      <c r="J548" s="87">
        <f>L540</f>
        <v>207795.36000000002</v>
      </c>
      <c r="K548" s="87">
        <f>SUM(F548:J548)</f>
        <v>3047067.8499999996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718452.18</v>
      </c>
      <c r="G549" s="87">
        <f>L526</f>
        <v>234329.85</v>
      </c>
      <c r="H549" s="87">
        <f>L531</f>
        <v>148187.88999999998</v>
      </c>
      <c r="I549" s="87">
        <f>L536</f>
        <v>0</v>
      </c>
      <c r="J549" s="87">
        <f>L541</f>
        <v>113587.09999999999</v>
      </c>
      <c r="K549" s="87">
        <f>SUM(F549:J549)</f>
        <v>1214557.02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1225321.93</v>
      </c>
      <c r="G550" s="87">
        <f>L527</f>
        <v>365668.41</v>
      </c>
      <c r="H550" s="87">
        <f>L532</f>
        <v>196558.99000000002</v>
      </c>
      <c r="I550" s="87">
        <f>L537</f>
        <v>7020.08</v>
      </c>
      <c r="J550" s="87">
        <f>L542</f>
        <v>157975.53999999998</v>
      </c>
      <c r="K550" s="87">
        <f>SUM(F550:J550)</f>
        <v>1952544.95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4133525.4400000004</v>
      </c>
      <c r="G551" s="89">
        <f t="shared" si="42"/>
        <v>1101840.54</v>
      </c>
      <c r="H551" s="89">
        <f t="shared" si="42"/>
        <v>492425.76</v>
      </c>
      <c r="I551" s="89">
        <f t="shared" si="42"/>
        <v>7020.08</v>
      </c>
      <c r="J551" s="89">
        <f t="shared" si="42"/>
        <v>479358</v>
      </c>
      <c r="K551" s="89">
        <f t="shared" si="42"/>
        <v>6214169.8199999994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12691.64</v>
      </c>
      <c r="G561" s="18">
        <v>20715.919999999998</v>
      </c>
      <c r="H561" s="18">
        <v>398.17</v>
      </c>
      <c r="I561" s="18">
        <v>78.16</v>
      </c>
      <c r="J561" s="18"/>
      <c r="K561" s="18"/>
      <c r="L561" s="88">
        <f>SUM(F561:K561)</f>
        <v>33883.89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25383.18</v>
      </c>
      <c r="G562" s="18">
        <v>11837.67</v>
      </c>
      <c r="H562" s="18">
        <v>227.52</v>
      </c>
      <c r="I562" s="18">
        <v>44.66</v>
      </c>
      <c r="J562" s="18"/>
      <c r="K562" s="18"/>
      <c r="L562" s="88">
        <f>SUM(F562:K562)</f>
        <v>37493.03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44757.78</v>
      </c>
      <c r="G563" s="18">
        <v>16770.03</v>
      </c>
      <c r="H563" s="18">
        <v>322.33</v>
      </c>
      <c r="I563" s="18">
        <v>63.27</v>
      </c>
      <c r="J563" s="18"/>
      <c r="K563" s="18"/>
      <c r="L563" s="88">
        <f>SUM(F563:K563)</f>
        <v>61913.409999999996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82832.600000000006</v>
      </c>
      <c r="G564" s="89">
        <f t="shared" si="44"/>
        <v>49323.619999999995</v>
      </c>
      <c r="H564" s="89">
        <f t="shared" si="44"/>
        <v>948.02</v>
      </c>
      <c r="I564" s="89">
        <f t="shared" si="44"/>
        <v>186.09</v>
      </c>
      <c r="J564" s="89">
        <f t="shared" si="44"/>
        <v>0</v>
      </c>
      <c r="K564" s="89">
        <f t="shared" si="44"/>
        <v>0</v>
      </c>
      <c r="L564" s="89">
        <f t="shared" si="44"/>
        <v>133290.32999999999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82832.600000000006</v>
      </c>
      <c r="G570" s="89">
        <f t="shared" ref="G570:L570" si="46">G559+G564+G569</f>
        <v>49323.619999999995</v>
      </c>
      <c r="H570" s="89">
        <f t="shared" si="46"/>
        <v>948.02</v>
      </c>
      <c r="I570" s="89">
        <f t="shared" si="46"/>
        <v>186.09</v>
      </c>
      <c r="J570" s="89">
        <f t="shared" si="46"/>
        <v>0</v>
      </c>
      <c r="K570" s="89">
        <f t="shared" si="46"/>
        <v>0</v>
      </c>
      <c r="L570" s="89">
        <f t="shared" si="46"/>
        <v>133290.32999999999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4"/>
      <c r="G574" s="4"/>
      <c r="H574" s="4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4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ref="I576:I586" si="47">SUM(F576:H576)</f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45064.41+52000</f>
        <v>97064.41</v>
      </c>
      <c r="G578" s="18">
        <v>22532.2</v>
      </c>
      <c r="H578" s="18">
        <f>22532.2+31094</f>
        <v>53626.2</v>
      </c>
      <c r="I578" s="87">
        <f>SUM(F578:H578)</f>
        <v>173222.81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221095.56</f>
        <v>221095.56</v>
      </c>
      <c r="G581" s="18">
        <v>128374.15</v>
      </c>
      <c r="H581" s="18">
        <v>479994.02</v>
      </c>
      <c r="I581" s="87">
        <f t="shared" si="47"/>
        <v>829463.73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f>225885.64</f>
        <v>225885.64</v>
      </c>
      <c r="I583" s="87">
        <f>SUM(F583:H583)</f>
        <v>225885.64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632501.65</v>
      </c>
      <c r="I590" s="18">
        <v>346133.54</v>
      </c>
      <c r="J590" s="18">
        <v>477989.37</v>
      </c>
      <c r="K590" s="104">
        <f t="shared" ref="K590:K596" si="48">SUM(H590:J590)</f>
        <v>1456624.56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217064.03</v>
      </c>
      <c r="I591" s="18">
        <v>126489.05</v>
      </c>
      <c r="J591" s="18">
        <v>191560.13</v>
      </c>
      <c r="K591" s="104">
        <f t="shared" si="48"/>
        <v>535113.21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2173.8000000000002</v>
      </c>
      <c r="K592" s="104">
        <f t="shared" si="48"/>
        <v>2173.8000000000002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3079</v>
      </c>
      <c r="J593" s="18">
        <v>48699.199999999997</v>
      </c>
      <c r="K593" s="104">
        <f t="shared" si="48"/>
        <v>51778.2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849565.68</v>
      </c>
      <c r="I597" s="108">
        <f>SUM(I590:I596)</f>
        <v>475701.58999999997</v>
      </c>
      <c r="J597" s="108">
        <f>SUM(J590:J596)</f>
        <v>720422.5</v>
      </c>
      <c r="K597" s="108">
        <f>SUM(K590:K596)</f>
        <v>2045689.77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>
        <v>231</v>
      </c>
      <c r="K601" s="104">
        <f>SUM(H601:J601)</f>
        <v>231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204679.23-4323.58</f>
        <v>200355.65000000002</v>
      </c>
      <c r="I603" s="18">
        <f>J228+J308+J358</f>
        <v>136438.37000000002</v>
      </c>
      <c r="J603" s="18">
        <f>J246+J327+J359</f>
        <v>172703.15</v>
      </c>
      <c r="K603" s="104">
        <f>SUM(H603:J603)</f>
        <v>509497.17000000004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200355.65000000002</v>
      </c>
      <c r="I604" s="108">
        <f>SUM(I601:I603)</f>
        <v>136438.37000000002</v>
      </c>
      <c r="J604" s="108">
        <f>SUM(J601:J603)</f>
        <v>172934.15</v>
      </c>
      <c r="K604" s="108">
        <f>SUM(K601:K603)</f>
        <v>509728.17000000004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2862940.6199999996</v>
      </c>
      <c r="H616" s="109">
        <f>SUM(F51)</f>
        <v>2862940.62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250207.78</v>
      </c>
      <c r="H617" s="109">
        <f>SUM(G51)</f>
        <v>250207.77999999997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424748.29999999993</v>
      </c>
      <c r="H618" s="109">
        <f>SUM(H51)</f>
        <v>424748.30000000005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273280.39</v>
      </c>
      <c r="H619" s="109">
        <f>SUM(I51)</f>
        <v>273280.39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635614.52</v>
      </c>
      <c r="H620" s="109">
        <f>SUM(J51)</f>
        <v>635614.52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912249.23</v>
      </c>
      <c r="H621" s="109">
        <f>F475</f>
        <v>912249.22999999672</v>
      </c>
      <c r="I621" s="121" t="s">
        <v>101</v>
      </c>
      <c r="J621" s="109">
        <f t="shared" ref="J621:J654" si="50">G621-H621</f>
        <v>3.2596290111541748E-9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17924.43</v>
      </c>
      <c r="H622" s="109">
        <f>G475</f>
        <v>17924.431000000099</v>
      </c>
      <c r="I622" s="121" t="s">
        <v>102</v>
      </c>
      <c r="J622" s="109">
        <f t="shared" si="50"/>
        <v>-1.0000000984291546E-3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17226.009999999998</v>
      </c>
      <c r="H623" s="109">
        <f>H475</f>
        <v>17226.010000000009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67488.73</v>
      </c>
      <c r="H624" s="109">
        <f>I475</f>
        <v>67488.73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635614.52</v>
      </c>
      <c r="H625" s="109">
        <f>J475</f>
        <v>635614.52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33092764.640000001</v>
      </c>
      <c r="H626" s="104">
        <f>SUM(F467)</f>
        <v>33092764.640000001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1145509.6099999999</v>
      </c>
      <c r="H627" s="104">
        <f>SUM(G467)</f>
        <v>1145509.6100000001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1808993.89</v>
      </c>
      <c r="H628" s="104">
        <f>SUM(H467)</f>
        <v>1808993.89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116.28</v>
      </c>
      <c r="H629" s="104">
        <f>SUM(I467)</f>
        <v>116.28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1715.85</v>
      </c>
      <c r="H630" s="104">
        <f>SUM(J467)</f>
        <v>1715.85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33120399.030000001</v>
      </c>
      <c r="H631" s="104">
        <f>SUM(F471)</f>
        <v>33120399.030000001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1808993.9099999997</v>
      </c>
      <c r="H632" s="104">
        <f>SUM(H471)</f>
        <v>1808993.91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603678.29</v>
      </c>
      <c r="H633" s="104">
        <f>I368</f>
        <v>603678.29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1144824.6800000002</v>
      </c>
      <c r="H634" s="104">
        <f>SUM(G471)</f>
        <v>1144824.68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1500</v>
      </c>
      <c r="H635" s="104">
        <f>SUM(I471)</f>
        <v>1500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1715.85</v>
      </c>
      <c r="H636" s="164">
        <f>SUM(J467)</f>
        <v>1715.85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635614.52</v>
      </c>
      <c r="H639" s="104">
        <f>SUM(G460)</f>
        <v>635614.52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635614.52</v>
      </c>
      <c r="H641" s="104">
        <f>SUM(I460)</f>
        <v>635614.52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1715.85</v>
      </c>
      <c r="H643" s="104">
        <f>H407</f>
        <v>1715.85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1715.85</v>
      </c>
      <c r="H645" s="104">
        <f>L407</f>
        <v>1715.85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2045689.77</v>
      </c>
      <c r="H646" s="104">
        <f>L207+L225+L243</f>
        <v>2045689.77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509728.17000000004</v>
      </c>
      <c r="H647" s="104">
        <f>(J256+J337)-(J254+J335)</f>
        <v>509728.17000000004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849565.68</v>
      </c>
      <c r="H648" s="104">
        <f>H597</f>
        <v>849565.68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475701.58999999997</v>
      </c>
      <c r="H649" s="104">
        <f>I597</f>
        <v>475701.58999999997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720422.5</v>
      </c>
      <c r="H650" s="104">
        <f>J597</f>
        <v>720422.5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1400</v>
      </c>
      <c r="H651" s="104">
        <f>K262+K344</f>
        <v>1400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-9.9998712539672852E-4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14545727.860000001</v>
      </c>
      <c r="G659" s="19">
        <f>(L228+L308+L358)</f>
        <v>7876276.3799999999</v>
      </c>
      <c r="H659" s="19">
        <f>(L246+L327+L359)</f>
        <v>11245228.76</v>
      </c>
      <c r="I659" s="19">
        <f>SUM(F659:H659)</f>
        <v>33667233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253245.26338325179</v>
      </c>
      <c r="G660" s="19">
        <f>(L358/IF(SUM(L357:L359)=0,1,SUM(L357:L359))*(SUM(G96:G109)))</f>
        <v>155180.0552478201</v>
      </c>
      <c r="H660" s="19">
        <f>(L359/IF(SUM(L357:L359)=0,1,SUM(L357:L359))*(SUM(G96:G109)))</f>
        <v>295549.38136892795</v>
      </c>
      <c r="I660" s="19">
        <f>SUM(F660:H660)</f>
        <v>703974.69999999984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780985.85000000009</v>
      </c>
      <c r="G661" s="19">
        <f>(L225+L305)-(J225+J305)</f>
        <v>436513.12</v>
      </c>
      <c r="H661" s="19">
        <f>(L243+L324)-(J243+J324)</f>
        <v>664904.68999999994</v>
      </c>
      <c r="I661" s="19">
        <f>SUM(F661:H661)</f>
        <v>1882403.6600000001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SUM(F575:F586)+SUM(H601:H603)+SUM(L610)</f>
        <v>518515.62</v>
      </c>
      <c r="G662" s="200">
        <f>SUM(G575:G586)+SUM(I601:I603)+L611</f>
        <v>287344.72000000003</v>
      </c>
      <c r="H662" s="200">
        <f>SUM(H575:H586)+SUM(J601:J603)+L612</f>
        <v>932440.01</v>
      </c>
      <c r="I662" s="19">
        <f>SUM(F662:H662)</f>
        <v>1738300.35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12992981.12661675</v>
      </c>
      <c r="G663" s="19">
        <f>G659-SUM(G660:G662)</f>
        <v>6997238.4847521801</v>
      </c>
      <c r="H663" s="19">
        <f>H659-SUM(H660:H662)</f>
        <v>9352334.678631071</v>
      </c>
      <c r="I663" s="19">
        <f>I659-SUM(I660:I662)</f>
        <v>29342554.289999999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1069.5</v>
      </c>
      <c r="G664" s="249">
        <v>615.86</v>
      </c>
      <c r="H664" s="249">
        <v>868.24</v>
      </c>
      <c r="I664" s="19">
        <f>SUM(F664:H664)</f>
        <v>2553.6000000000004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12148.65</v>
      </c>
      <c r="G666" s="19">
        <f>ROUND(G663/G664,2)</f>
        <v>11361.74</v>
      </c>
      <c r="H666" s="19">
        <f>ROUND(H663/H664,2)</f>
        <v>10771.6</v>
      </c>
      <c r="I666" s="19">
        <f>ROUND(I663/I664,2)</f>
        <v>11490.66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-45.07</v>
      </c>
      <c r="I669" s="19">
        <f>SUM(F669:H669)</f>
        <v>-45.07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12148.65</v>
      </c>
      <c r="G671" s="19">
        <f>ROUND((G663+G668)/(G664+G669),2)</f>
        <v>11361.74</v>
      </c>
      <c r="H671" s="19">
        <f>ROUND((H663+H668)/(H664+H669),2)</f>
        <v>11361.36</v>
      </c>
      <c r="I671" s="19">
        <f>ROUND((I663+I668)/(I664+I669),2)</f>
        <v>11697.11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MERRIMACK VALLEY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8380390.2000000011</v>
      </c>
      <c r="C9" s="230">
        <f>'DOE25'!G196+'DOE25'!G214+'DOE25'!G232+'DOE25'!G275+'DOE25'!G294+'DOE25'!G313</f>
        <v>3322319.83</v>
      </c>
    </row>
    <row r="10" spans="1:3" x14ac:dyDescent="0.2">
      <c r="A10" t="s">
        <v>779</v>
      </c>
      <c r="B10" s="241"/>
      <c r="C10" s="241"/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Error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3486513.9600000004</v>
      </c>
      <c r="C18" s="230">
        <f>'DOE25'!G197+'DOE25'!G215+'DOE25'!G233+'DOE25'!G276+'DOE25'!G295+'DOE25'!G314</f>
        <v>1728342.3299999998</v>
      </c>
    </row>
    <row r="19" spans="1:3" x14ac:dyDescent="0.2">
      <c r="A19" t="s">
        <v>779</v>
      </c>
      <c r="B19" s="241"/>
      <c r="C19" s="241"/>
    </row>
    <row r="20" spans="1:3" x14ac:dyDescent="0.2">
      <c r="A20" t="s">
        <v>780</v>
      </c>
      <c r="B20" s="241"/>
      <c r="C20" s="241"/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Error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386209.98</v>
      </c>
      <c r="C36" s="236">
        <f>'DOE25'!G199+'DOE25'!G217+'DOE25'!G235+'DOE25'!G278+'DOE25'!G297+'DOE25'!G316</f>
        <v>73593.400000000009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Error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19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MERRIMACK VALLEY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18214026.620000001</v>
      </c>
      <c r="D5" s="20">
        <f>SUM('DOE25'!L196:L199)+SUM('DOE25'!L214:L217)+SUM('DOE25'!L232:L235)-F5-G5</f>
        <v>18164063.690000001</v>
      </c>
      <c r="E5" s="244"/>
      <c r="F5" s="256">
        <f>SUM('DOE25'!J196:J199)+SUM('DOE25'!J214:J217)+SUM('DOE25'!J232:J235)</f>
        <v>45256.69</v>
      </c>
      <c r="G5" s="53">
        <f>SUM('DOE25'!K196:K199)+SUM('DOE25'!K214:K217)+SUM('DOE25'!K232:K235)</f>
        <v>4706.24</v>
      </c>
      <c r="H5" s="260"/>
    </row>
    <row r="6" spans="1:9" x14ac:dyDescent="0.2">
      <c r="A6" s="32">
        <v>2100</v>
      </c>
      <c r="B6" t="s">
        <v>801</v>
      </c>
      <c r="C6" s="246">
        <f t="shared" si="0"/>
        <v>3684043.0400000005</v>
      </c>
      <c r="D6" s="20">
        <f>'DOE25'!L201+'DOE25'!L219+'DOE25'!L237-F6-G6</f>
        <v>3681071.1600000006</v>
      </c>
      <c r="E6" s="244"/>
      <c r="F6" s="256">
        <f>'DOE25'!J201+'DOE25'!J219+'DOE25'!J237</f>
        <v>1837.88</v>
      </c>
      <c r="G6" s="53">
        <f>'DOE25'!K201+'DOE25'!K219+'DOE25'!K237</f>
        <v>1134</v>
      </c>
      <c r="H6" s="260"/>
    </row>
    <row r="7" spans="1:9" x14ac:dyDescent="0.2">
      <c r="A7" s="32">
        <v>2200</v>
      </c>
      <c r="B7" t="s">
        <v>834</v>
      </c>
      <c r="C7" s="246">
        <f t="shared" si="0"/>
        <v>1050178.92</v>
      </c>
      <c r="D7" s="20">
        <f>'DOE25'!L202+'DOE25'!L220+'DOE25'!L238-F7-G7</f>
        <v>952471.50999999989</v>
      </c>
      <c r="E7" s="244"/>
      <c r="F7" s="256">
        <f>'DOE25'!J202+'DOE25'!J220+'DOE25'!J238</f>
        <v>97679.91</v>
      </c>
      <c r="G7" s="53">
        <f>'DOE25'!K202+'DOE25'!K220+'DOE25'!K238</f>
        <v>27.5</v>
      </c>
      <c r="H7" s="260"/>
    </row>
    <row r="8" spans="1:9" x14ac:dyDescent="0.2">
      <c r="A8" s="32">
        <v>2300</v>
      </c>
      <c r="B8" t="s">
        <v>802</v>
      </c>
      <c r="C8" s="246">
        <f t="shared" si="0"/>
        <v>598614.4</v>
      </c>
      <c r="D8" s="244"/>
      <c r="E8" s="20">
        <f>'DOE25'!L203+'DOE25'!L221+'DOE25'!L239-F8-G8-D9-D11</f>
        <v>593032.70000000007</v>
      </c>
      <c r="F8" s="256">
        <f>'DOE25'!J203+'DOE25'!J221+'DOE25'!J239</f>
        <v>0</v>
      </c>
      <c r="G8" s="53">
        <f>'DOE25'!K203+'DOE25'!K221+'DOE25'!K239</f>
        <v>5581.7</v>
      </c>
      <c r="H8" s="260"/>
    </row>
    <row r="9" spans="1:9" x14ac:dyDescent="0.2">
      <c r="A9" s="32">
        <v>2310</v>
      </c>
      <c r="B9" t="s">
        <v>818</v>
      </c>
      <c r="C9" s="246">
        <f t="shared" si="0"/>
        <v>19750.13</v>
      </c>
      <c r="D9" s="245">
        <v>19750.13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25250</v>
      </c>
      <c r="D10" s="244"/>
      <c r="E10" s="245">
        <v>25250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248902.11</v>
      </c>
      <c r="D11" s="245">
        <v>248902.11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1699264.6099999999</v>
      </c>
      <c r="D12" s="20">
        <f>'DOE25'!L204+'DOE25'!L222+'DOE25'!L240-F12-G12</f>
        <v>1630183.0199999998</v>
      </c>
      <c r="E12" s="244"/>
      <c r="F12" s="256">
        <f>'DOE25'!J204+'DOE25'!J222+'DOE25'!J240</f>
        <v>49237.59</v>
      </c>
      <c r="G12" s="53">
        <f>'DOE25'!K204+'DOE25'!K222+'DOE25'!K240</f>
        <v>19844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2486.2600000000002</v>
      </c>
      <c r="D13" s="244"/>
      <c r="E13" s="20">
        <f>'DOE25'!L205+'DOE25'!L223+'DOE25'!L241-F13-G13</f>
        <v>2486.2600000000002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3165624.9699999997</v>
      </c>
      <c r="D14" s="20">
        <f>'DOE25'!L206+'DOE25'!L224+'DOE25'!L242-F14-G14</f>
        <v>3122905.71</v>
      </c>
      <c r="E14" s="244"/>
      <c r="F14" s="256">
        <f>'DOE25'!J206+'DOE25'!J224+'DOE25'!J242</f>
        <v>42719.259999999995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2045689.77</v>
      </c>
      <c r="D15" s="20">
        <f>'DOE25'!L207+'DOE25'!L225+'DOE25'!L243-F15-G15</f>
        <v>1881788.66</v>
      </c>
      <c r="E15" s="244"/>
      <c r="F15" s="256">
        <f>'DOE25'!J207+'DOE25'!J225+'DOE25'!J243</f>
        <v>163286.11000000002</v>
      </c>
      <c r="G15" s="53">
        <f>'DOE25'!K207+'DOE25'!K225+'DOE25'!K243</f>
        <v>615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179744.52000000002</v>
      </c>
      <c r="D22" s="244"/>
      <c r="E22" s="244"/>
      <c r="F22" s="256">
        <f>'DOE25'!L254+'DOE25'!L335</f>
        <v>179744.52000000002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2214757.5</v>
      </c>
      <c r="D25" s="244"/>
      <c r="E25" s="244"/>
      <c r="F25" s="259"/>
      <c r="G25" s="257"/>
      <c r="H25" s="258">
        <f>'DOE25'!L259+'DOE25'!L260+'DOE25'!L340+'DOE25'!L341</f>
        <v>2214757.5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623245.75000000023</v>
      </c>
      <c r="D29" s="20">
        <f>'DOE25'!L357+'DOE25'!L358+'DOE25'!L359-'DOE25'!I366-F29-G29</f>
        <v>618802.67000000027</v>
      </c>
      <c r="E29" s="244"/>
      <c r="F29" s="256">
        <f>'DOE25'!J357+'DOE25'!J358+'DOE25'!J359</f>
        <v>4092.58</v>
      </c>
      <c r="G29" s="53">
        <f>'DOE25'!K357+'DOE25'!K358+'DOE25'!K359</f>
        <v>350.5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1804910.0899999999</v>
      </c>
      <c r="D31" s="20">
        <f>'DOE25'!L289+'DOE25'!L308+'DOE25'!L327+'DOE25'!L332+'DOE25'!L333+'DOE25'!L334-F31-G31</f>
        <v>1674376.2</v>
      </c>
      <c r="E31" s="244"/>
      <c r="F31" s="256">
        <f>'DOE25'!J289+'DOE25'!J308+'DOE25'!J327+'DOE25'!J332+'DOE25'!J333+'DOE25'!J334</f>
        <v>109710.73000000001</v>
      </c>
      <c r="G31" s="53">
        <f>'DOE25'!K289+'DOE25'!K308+'DOE25'!K327+'DOE25'!K332+'DOE25'!K333+'DOE25'!K334</f>
        <v>20823.16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31994314.860000003</v>
      </c>
      <c r="E33" s="247">
        <f>SUM(E5:E31)</f>
        <v>620768.96000000008</v>
      </c>
      <c r="F33" s="247">
        <f>SUM(F5:F31)</f>
        <v>693565.27</v>
      </c>
      <c r="G33" s="247">
        <f>SUM(G5:G31)</f>
        <v>53082.1</v>
      </c>
      <c r="H33" s="247">
        <f>SUM(H5:H31)</f>
        <v>2214757.5</v>
      </c>
    </row>
    <row r="35" spans="2:8" ht="12" thickBot="1" x14ac:dyDescent="0.25">
      <c r="B35" s="254" t="s">
        <v>847</v>
      </c>
      <c r="D35" s="255">
        <f>E33</f>
        <v>620768.96000000008</v>
      </c>
      <c r="E35" s="250"/>
    </row>
    <row r="36" spans="2:8" ht="12" thickTop="1" x14ac:dyDescent="0.2">
      <c r="B36" t="s">
        <v>815</v>
      </c>
      <c r="D36" s="20">
        <f>D33</f>
        <v>31994314.860000003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C31" sqref="C3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VALLEY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2473812.8199999998</v>
      </c>
      <c r="D8" s="95">
        <f>'DOE25'!G9</f>
        <v>123808.12</v>
      </c>
      <c r="E8" s="95">
        <f>'DOE25'!H9</f>
        <v>0</v>
      </c>
      <c r="F8" s="95">
        <f>'DOE25'!I9</f>
        <v>270611.37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34469.229999999996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116820.46</v>
      </c>
      <c r="D11" s="95">
        <f>'DOE25'!G12</f>
        <v>0</v>
      </c>
      <c r="E11" s="95">
        <f>'DOE25'!H12</f>
        <v>189052.79999999999</v>
      </c>
      <c r="F11" s="95">
        <f>'DOE25'!I12</f>
        <v>2669.02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198620.1</v>
      </c>
      <c r="D12" s="95">
        <f>'DOE25'!G13</f>
        <v>107576</v>
      </c>
      <c r="E12" s="95">
        <f>'DOE25'!H13</f>
        <v>234772.4</v>
      </c>
      <c r="F12" s="95">
        <f>'DOE25'!I13</f>
        <v>0</v>
      </c>
      <c r="G12" s="95">
        <f>'DOE25'!J13</f>
        <v>635614.52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39218.01</v>
      </c>
      <c r="D13" s="95">
        <f>'DOE25'!G14</f>
        <v>1904.25</v>
      </c>
      <c r="E13" s="95">
        <f>'DOE25'!H14</f>
        <v>923.1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16919.41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2862940.6199999996</v>
      </c>
      <c r="D18" s="41">
        <f>SUM(D8:D17)</f>
        <v>250207.78</v>
      </c>
      <c r="E18" s="41">
        <f>SUM(E8:E17)</f>
        <v>424748.29999999993</v>
      </c>
      <c r="F18" s="41">
        <f>SUM(F8:F17)</f>
        <v>273280.39</v>
      </c>
      <c r="G18" s="41">
        <f>SUM(G8:G17)</f>
        <v>635614.52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179430.74</v>
      </c>
      <c r="E21" s="95">
        <f>'DOE25'!H22</f>
        <v>129111.56</v>
      </c>
      <c r="F21" s="95">
        <f>'DOE25'!F29</f>
        <v>38462.219999999994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159945.42000000001</v>
      </c>
      <c r="D23" s="95">
        <f>'DOE25'!G24</f>
        <v>7310.02</v>
      </c>
      <c r="E23" s="95" t="e">
        <f>'DOE25'!#REF!</f>
        <v>#REF!</v>
      </c>
      <c r="F23" s="95">
        <f>'DOE25'!H24</f>
        <v>9382.42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1752283.75</v>
      </c>
      <c r="D27" s="95">
        <f>'DOE25'!G28</f>
        <v>45542.59</v>
      </c>
      <c r="E27" s="95">
        <f>'DOE25'!H28</f>
        <v>99085.61</v>
      </c>
      <c r="F27" s="95">
        <f>'DOE25'!I31</f>
        <v>205791.66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 t="e">
        <f>'DOE25'!#REF!</f>
        <v>#REF!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169942.7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 t="e">
        <f>'DOE25'!#REF!</f>
        <v>#REF!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 t="e">
        <f>SUM(C21:C30)</f>
        <v>#REF!</v>
      </c>
      <c r="D31" s="41">
        <f>SUM(D21:D30)</f>
        <v>232283.34999999998</v>
      </c>
      <c r="E31" s="41" t="e">
        <f>SUM(E21:E30)</f>
        <v>#REF!</v>
      </c>
      <c r="F31" s="41" t="e">
        <f>SUM(F21:F30)</f>
        <v>#REF!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16919.41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299246.69</v>
      </c>
      <c r="D46" s="95" t="e">
        <f>'DOE25'!#REF!</f>
        <v>#REF!</v>
      </c>
      <c r="E46" s="95">
        <f>'DOE25'!H47</f>
        <v>17226.009999999998</v>
      </c>
      <c r="F46" s="95" t="e">
        <f>'DOE25'!#REF!</f>
        <v>#REF!</v>
      </c>
      <c r="G46" s="95">
        <f>'DOE25'!J47</f>
        <v>635614.52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'DOE25'!G47</f>
        <v>1005.02</v>
      </c>
      <c r="E47" s="95">
        <f>'DOE25'!H48</f>
        <v>0</v>
      </c>
      <c r="F47" s="95">
        <f>'DOE25'!I47</f>
        <v>67488.73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613002.54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912249.23</v>
      </c>
      <c r="D49" s="41" t="e">
        <f>SUM(D34:D48)</f>
        <v>#REF!</v>
      </c>
      <c r="E49" s="41">
        <f>SUM(E34:E48)</f>
        <v>17226.009999999998</v>
      </c>
      <c r="F49" s="41" t="e">
        <f>SUM(F34:F48)</f>
        <v>#REF!</v>
      </c>
      <c r="G49" s="41">
        <f>SUM(G34:G48)</f>
        <v>635614.52</v>
      </c>
      <c r="H49" s="124"/>
      <c r="I49" s="124"/>
    </row>
    <row r="50" spans="1:9" ht="12" thickTop="1" x14ac:dyDescent="0.2">
      <c r="A50" s="38" t="s">
        <v>895</v>
      </c>
      <c r="B50" s="2"/>
      <c r="C50" s="41" t="e">
        <f>C49+C31</f>
        <v>#REF!</v>
      </c>
      <c r="D50" s="41" t="e">
        <f>D49+D31</f>
        <v>#REF!</v>
      </c>
      <c r="E50" s="41" t="e">
        <f>E49+E31</f>
        <v>#REF!</v>
      </c>
      <c r="F50" s="41" t="e">
        <f>F49+F31</f>
        <v>#REF!</v>
      </c>
      <c r="G50" s="41">
        <f>G49+G31</f>
        <v>635614.52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16956625.140000001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1148209.96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4890.75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72.350000000000009</v>
      </c>
      <c r="D58" s="95">
        <f>'DOE25'!G95</f>
        <v>76.55</v>
      </c>
      <c r="E58" s="95">
        <f>'DOE25'!H95</f>
        <v>0</v>
      </c>
      <c r="F58" s="95">
        <f>'DOE25'!I95</f>
        <v>116.28</v>
      </c>
      <c r="G58" s="95">
        <f>'DOE25'!J95</f>
        <v>1715.85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679974.51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62888.3</v>
      </c>
      <c r="D60" s="95">
        <f>SUM('DOE25'!G97:G109)</f>
        <v>24000.19</v>
      </c>
      <c r="E60" s="95">
        <f>SUM('DOE25'!H97:H109)</f>
        <v>82534.64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1216061.3600000001</v>
      </c>
      <c r="D61" s="130">
        <f>SUM(D56:D60)</f>
        <v>704051.25</v>
      </c>
      <c r="E61" s="130">
        <f>SUM(E56:E60)</f>
        <v>82534.64</v>
      </c>
      <c r="F61" s="130">
        <f>SUM(F56:F60)</f>
        <v>116.28</v>
      </c>
      <c r="G61" s="130">
        <f>SUM(G56:G60)</f>
        <v>1715.85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18172686.5</v>
      </c>
      <c r="D62" s="22">
        <f>D55+D61</f>
        <v>704051.25</v>
      </c>
      <c r="E62" s="22">
        <f>E55+E61</f>
        <v>82534.64</v>
      </c>
      <c r="F62" s="22">
        <f>F55+F61</f>
        <v>116.28</v>
      </c>
      <c r="G62" s="22">
        <f>G55+G61</f>
        <v>1715.85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9715225.4000000004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3383707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8417.6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13107350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1347331.25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154087.82999999999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19942.21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12736.74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1521361.29</v>
      </c>
      <c r="D77" s="130">
        <f>SUM(D71:D76)</f>
        <v>12736.74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14628711.289999999</v>
      </c>
      <c r="D80" s="130">
        <f>SUM(D78:D79)+D77+D69</f>
        <v>12736.74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291366.84999999998</v>
      </c>
      <c r="D87" s="95">
        <f>SUM('DOE25'!G152:G160)</f>
        <v>381712.25</v>
      </c>
      <c r="E87" s="95">
        <f>SUM('DOE25'!H152:H160)</f>
        <v>1726459.25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45609.37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291366.84999999998</v>
      </c>
      <c r="D90" s="131">
        <f>SUM(D84:D89)</f>
        <v>427321.62</v>
      </c>
      <c r="E90" s="131">
        <f>SUM(E84:E89)</f>
        <v>1726459.25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1400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1400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33092764.640000001</v>
      </c>
      <c r="D103" s="86">
        <f>D62+D80+D90+D102</f>
        <v>1145509.6099999999</v>
      </c>
      <c r="E103" s="86">
        <f>E62+E80+E90+E102</f>
        <v>1808993.89</v>
      </c>
      <c r="F103" s="86">
        <f>F62+F80+F90+F102</f>
        <v>116.28</v>
      </c>
      <c r="G103" s="86">
        <f>G62+G80+G102</f>
        <v>1715.85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11847132.470000001</v>
      </c>
      <c r="D108" s="24" t="s">
        <v>289</v>
      </c>
      <c r="E108" s="95">
        <f>('DOE25'!L275)+('DOE25'!L294)+('DOE25'!L313)</f>
        <v>338944.37999999995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5633702.7800000003</v>
      </c>
      <c r="D109" s="24" t="s">
        <v>289</v>
      </c>
      <c r="E109" s="95">
        <f>('DOE25'!L276)+('DOE25'!L295)+('DOE25'!L314)</f>
        <v>797851.08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225885.64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507305.73</v>
      </c>
      <c r="D111" s="24" t="s">
        <v>289</v>
      </c>
      <c r="E111" s="95">
        <f>+('DOE25'!L278)+('DOE25'!L297)+('DOE25'!L316)</f>
        <v>74882.36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11082.6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18214026.620000001</v>
      </c>
      <c r="D114" s="86">
        <f>SUM(D108:D113)</f>
        <v>0</v>
      </c>
      <c r="E114" s="86">
        <f>SUM(E108:E113)</f>
        <v>1222760.4200000002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3684043.0400000005</v>
      </c>
      <c r="D117" s="24" t="s">
        <v>289</v>
      </c>
      <c r="E117" s="95">
        <f>+('DOE25'!L280)+('DOE25'!L299)+('DOE25'!L318)</f>
        <v>274139.06999999995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1050178.92</v>
      </c>
      <c r="D118" s="24" t="s">
        <v>289</v>
      </c>
      <c r="E118" s="95">
        <f>+('DOE25'!L281)+('DOE25'!L300)+('DOE25'!L319)</f>
        <v>266733.93999999994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867266.64</v>
      </c>
      <c r="D119" s="24" t="s">
        <v>289</v>
      </c>
      <c r="E119" s="95">
        <f>+('DOE25'!L282)+('DOE25'!L301)+('DOE25'!L320)</f>
        <v>20453.5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1699264.6099999999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2486.2600000000002</v>
      </c>
      <c r="D121" s="24" t="s">
        <v>289</v>
      </c>
      <c r="E121" s="95">
        <f>+('DOE25'!L284)+('DOE25'!L303)+('DOE25'!L322)</f>
        <v>20823.16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3165624.9699999997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2045689.77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1144824.6800000002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12514554.210000001</v>
      </c>
      <c r="D127" s="86">
        <f>SUM(D117:D126)</f>
        <v>1144824.6800000002</v>
      </c>
      <c r="E127" s="86">
        <f>SUM(E117:E126)</f>
        <v>582149.66999999993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175660.7</v>
      </c>
      <c r="D129" s="24" t="s">
        <v>289</v>
      </c>
      <c r="E129" s="129">
        <f>'DOE25'!L335</f>
        <v>4083.82</v>
      </c>
      <c r="F129" s="129">
        <f>SUM('DOE25'!L373:'DOE25'!L379)</f>
        <v>1500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1985000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229757.5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1400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1715.85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-1715.85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2391818.2000000002</v>
      </c>
      <c r="D143" s="141">
        <f>SUM(D129:D142)</f>
        <v>0</v>
      </c>
      <c r="E143" s="141">
        <f>SUM(E129:E142)</f>
        <v>4083.82</v>
      </c>
      <c r="F143" s="141">
        <f>SUM(F129:F142)</f>
        <v>1500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33120399.030000001</v>
      </c>
      <c r="D144" s="86">
        <f>(D114+D127+D143)</f>
        <v>1144824.6800000002</v>
      </c>
      <c r="E144" s="86">
        <f>(E114+E127+E143)</f>
        <v>1808993.9100000001</v>
      </c>
      <c r="F144" s="86">
        <f>(F114+F127+F143)</f>
        <v>1500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10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 t="str">
        <f>'DOE25'!G490</f>
        <v>06/05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 t="str">
        <f>'DOE25'!G491</f>
        <v>10/14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19036029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3.25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7925000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7925000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11985000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11985000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5940000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5940000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293435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293435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6233435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6233435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1980000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1980000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166815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166815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2146815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2146815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MERRIMACK VALLEY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12149</v>
      </c>
    </row>
    <row r="5" spans="1:4" x14ac:dyDescent="0.2">
      <c r="B5" t="s">
        <v>704</v>
      </c>
      <c r="C5" s="179">
        <f>IF('DOE25'!G664+'DOE25'!G669=0,0,ROUND('DOE25'!G671,0))</f>
        <v>11362</v>
      </c>
    </row>
    <row r="6" spans="1:4" x14ac:dyDescent="0.2">
      <c r="B6" t="s">
        <v>62</v>
      </c>
      <c r="C6" s="179">
        <f>IF('DOE25'!H664+'DOE25'!H669=0,0,ROUND('DOE25'!H671,0))</f>
        <v>11361</v>
      </c>
    </row>
    <row r="7" spans="1:4" x14ac:dyDescent="0.2">
      <c r="B7" t="s">
        <v>705</v>
      </c>
      <c r="C7" s="179">
        <f>IF('DOE25'!I664+'DOE25'!I669=0,0,ROUND('DOE25'!I671,0))</f>
        <v>11697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12186077</v>
      </c>
      <c r="D10" s="182">
        <f>ROUND((C10/$C$28)*100,1)</f>
        <v>36.700000000000003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6431554</v>
      </c>
      <c r="D11" s="182">
        <f>ROUND((C11/$C$28)*100,1)</f>
        <v>19.399999999999999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225886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582188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3958182</v>
      </c>
      <c r="D15" s="182">
        <f t="shared" ref="D15:D27" si="0">ROUND((C15/$C$28)*100,1)</f>
        <v>11.9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1316913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887720</v>
      </c>
      <c r="D17" s="182">
        <f t="shared" si="0"/>
        <v>2.7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1699265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23309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3165625</v>
      </c>
      <c r="D20" s="182">
        <f t="shared" si="0"/>
        <v>9.5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2045690</v>
      </c>
      <c r="D21" s="182">
        <f t="shared" si="0"/>
        <v>6.2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11083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229758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440850.30000000005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33204100.300000001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181245</v>
      </c>
    </row>
    <row r="30" spans="1:4" x14ac:dyDescent="0.2">
      <c r="B30" s="187" t="s">
        <v>729</v>
      </c>
      <c r="C30" s="180">
        <f>SUM(C28:C29)</f>
        <v>33385345.300000001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1985000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16956625</v>
      </c>
      <c r="D35" s="182">
        <f t="shared" ref="D35:D40" si="1">ROUND((C35/$C$41)*100,1)</f>
        <v>48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1300504.820000004</v>
      </c>
      <c r="D36" s="182">
        <f t="shared" si="1"/>
        <v>3.7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13107350</v>
      </c>
      <c r="D37" s="182">
        <f t="shared" si="1"/>
        <v>37.1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1534098</v>
      </c>
      <c r="D38" s="182">
        <f t="shared" si="1"/>
        <v>4.3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2445148</v>
      </c>
      <c r="D39" s="182">
        <f t="shared" si="1"/>
        <v>6.9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35343725.820000008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0" t="s">
        <v>767</v>
      </c>
      <c r="B2" s="291"/>
      <c r="C2" s="291"/>
      <c r="D2" s="291"/>
      <c r="E2" s="291"/>
      <c r="F2" s="288" t="str">
        <f>'DOE25'!A2</f>
        <v>MERRIMACK VALLEY SCHOOL DISTRICT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1:M21"/>
    <mergeCell ref="C22:M22"/>
    <mergeCell ref="C23:M23"/>
    <mergeCell ref="C24:M24"/>
    <mergeCell ref="C36:M36"/>
    <mergeCell ref="C51:M51"/>
    <mergeCell ref="C26:M26"/>
    <mergeCell ref="C27:M27"/>
    <mergeCell ref="C62:M62"/>
    <mergeCell ref="C56:M56"/>
    <mergeCell ref="C35:M35"/>
    <mergeCell ref="C84:M84"/>
    <mergeCell ref="C82:M82"/>
    <mergeCell ref="C85:M85"/>
    <mergeCell ref="C86:M86"/>
    <mergeCell ref="C87:M87"/>
    <mergeCell ref="C88:M88"/>
    <mergeCell ref="C81:M81"/>
    <mergeCell ref="C89:M89"/>
    <mergeCell ref="C90:M90"/>
    <mergeCell ref="C68:M68"/>
    <mergeCell ref="C69:M69"/>
    <mergeCell ref="C83:M83"/>
    <mergeCell ref="C70:M70"/>
    <mergeCell ref="C52:M52"/>
    <mergeCell ref="C53:M53"/>
    <mergeCell ref="C54:M54"/>
    <mergeCell ref="C55:M55"/>
    <mergeCell ref="C61:M61"/>
    <mergeCell ref="C63:M63"/>
    <mergeCell ref="C64:M64"/>
    <mergeCell ref="C66:M66"/>
    <mergeCell ref="C67:M67"/>
    <mergeCell ref="C80:M80"/>
    <mergeCell ref="A72:E72"/>
    <mergeCell ref="C73:M73"/>
    <mergeCell ref="C74:M74"/>
    <mergeCell ref="C75:M75"/>
    <mergeCell ref="C76:M76"/>
    <mergeCell ref="C79:M79"/>
    <mergeCell ref="C77:M77"/>
    <mergeCell ref="C78:M78"/>
    <mergeCell ref="C65:M65"/>
    <mergeCell ref="C60:M60"/>
    <mergeCell ref="EP29:EZ29"/>
    <mergeCell ref="FC29:FM29"/>
    <mergeCell ref="P32:Z32"/>
    <mergeCell ref="P29:Z29"/>
    <mergeCell ref="AC29:AM29"/>
    <mergeCell ref="AC31:AM31"/>
    <mergeCell ref="AP31:AZ31"/>
    <mergeCell ref="DP29:DZ29"/>
    <mergeCell ref="EC29:EM29"/>
    <mergeCell ref="FC31:FM31"/>
    <mergeCell ref="DP30:DZ30"/>
    <mergeCell ref="EC30:EM30"/>
    <mergeCell ref="EP30:EZ30"/>
    <mergeCell ref="FC30:FM30"/>
    <mergeCell ref="BC32:BM32"/>
    <mergeCell ref="A1:I1"/>
    <mergeCell ref="C3:M3"/>
    <mergeCell ref="C4:M4"/>
    <mergeCell ref="F2:I2"/>
    <mergeCell ref="A2:E2"/>
    <mergeCell ref="C9:M9"/>
    <mergeCell ref="C32:M32"/>
    <mergeCell ref="C30:M30"/>
    <mergeCell ref="C31:M31"/>
    <mergeCell ref="C20:M20"/>
    <mergeCell ref="C29:M29"/>
    <mergeCell ref="C16:M16"/>
    <mergeCell ref="C11:M11"/>
    <mergeCell ref="C12:M12"/>
    <mergeCell ref="C13:M13"/>
    <mergeCell ref="C14:M14"/>
    <mergeCell ref="C15:M15"/>
    <mergeCell ref="C25:M25"/>
    <mergeCell ref="C5:M5"/>
    <mergeCell ref="C6:M6"/>
    <mergeCell ref="C7:M7"/>
    <mergeCell ref="C8:M8"/>
    <mergeCell ref="C18:M18"/>
    <mergeCell ref="C19:M19"/>
    <mergeCell ref="P38:Z38"/>
    <mergeCell ref="C10:M10"/>
    <mergeCell ref="CP29:CZ29"/>
    <mergeCell ref="DC29:DM29"/>
    <mergeCell ref="AP29:AZ29"/>
    <mergeCell ref="C28:M28"/>
    <mergeCell ref="C38:M38"/>
    <mergeCell ref="CC32:CM32"/>
    <mergeCell ref="AP32:AZ32"/>
    <mergeCell ref="AC32:AM32"/>
    <mergeCell ref="AC38:AM38"/>
    <mergeCell ref="P31:Z31"/>
    <mergeCell ref="CC30:CM30"/>
    <mergeCell ref="BC29:BM29"/>
    <mergeCell ref="BP29:BZ29"/>
    <mergeCell ref="CC29:CM29"/>
    <mergeCell ref="BC30:BM30"/>
    <mergeCell ref="BP30:BZ30"/>
    <mergeCell ref="C34:M34"/>
    <mergeCell ref="CP32:CZ32"/>
    <mergeCell ref="CP30:CZ30"/>
    <mergeCell ref="DC30:DM30"/>
    <mergeCell ref="C17:M17"/>
    <mergeCell ref="BC31:BM31"/>
    <mergeCell ref="IP29:IV29"/>
    <mergeCell ref="C42:M42"/>
    <mergeCell ref="P30:Z30"/>
    <mergeCell ref="AC30:AM30"/>
    <mergeCell ref="AP30:AZ30"/>
    <mergeCell ref="C41:M41"/>
    <mergeCell ref="C33:M33"/>
    <mergeCell ref="C37:M37"/>
    <mergeCell ref="P40:Z40"/>
    <mergeCell ref="AC40:AM40"/>
    <mergeCell ref="AP38:AZ38"/>
    <mergeCell ref="P39:Z39"/>
    <mergeCell ref="BP32:BZ32"/>
    <mergeCell ref="BC38:BM38"/>
    <mergeCell ref="BP39:BZ39"/>
    <mergeCell ref="BP38:BZ38"/>
    <mergeCell ref="C39:M39"/>
    <mergeCell ref="DC38:DM38"/>
    <mergeCell ref="CC38:CM38"/>
    <mergeCell ref="AC39:AM39"/>
    <mergeCell ref="AP39:AZ39"/>
    <mergeCell ref="CC39:CM39"/>
    <mergeCell ref="CP39:CZ39"/>
    <mergeCell ref="DC39:DM39"/>
    <mergeCell ref="BC39:BM39"/>
    <mergeCell ref="BP31:BZ31"/>
    <mergeCell ref="CC31:CM31"/>
    <mergeCell ref="CP31:CZ31"/>
    <mergeCell ref="EP32:EZ32"/>
    <mergeCell ref="EP38:EZ38"/>
    <mergeCell ref="FC38:FM38"/>
    <mergeCell ref="DP32:DZ32"/>
    <mergeCell ref="EC32:EM32"/>
    <mergeCell ref="DC32:DM32"/>
    <mergeCell ref="CP38:CZ38"/>
    <mergeCell ref="HP29:HZ29"/>
    <mergeCell ref="IC29:IM29"/>
    <mergeCell ref="FP32:FZ32"/>
    <mergeCell ref="GC32:GM32"/>
    <mergeCell ref="HC31:HM31"/>
    <mergeCell ref="HP31:HZ31"/>
    <mergeCell ref="HC32:HM32"/>
    <mergeCell ref="FP31:FZ31"/>
    <mergeCell ref="GC31:GM31"/>
    <mergeCell ref="GP31:GZ31"/>
    <mergeCell ref="HC29:HM29"/>
    <mergeCell ref="IC31:IM31"/>
    <mergeCell ref="FP29:FZ29"/>
    <mergeCell ref="GC29:GM29"/>
    <mergeCell ref="GP29:GZ29"/>
    <mergeCell ref="FP30:FZ30"/>
    <mergeCell ref="HC30:HM30"/>
    <mergeCell ref="GP32:GZ32"/>
    <mergeCell ref="GC30:GM30"/>
    <mergeCell ref="GP30:GZ30"/>
    <mergeCell ref="IP30:IV30"/>
    <mergeCell ref="HP30:HZ30"/>
    <mergeCell ref="IP31:IV31"/>
    <mergeCell ref="DC31:DM31"/>
    <mergeCell ref="DP31:DZ31"/>
    <mergeCell ref="EC31:EM31"/>
    <mergeCell ref="EP31:EZ31"/>
    <mergeCell ref="IP38:IV38"/>
    <mergeCell ref="HP32:HZ32"/>
    <mergeCell ref="IC32:IM32"/>
    <mergeCell ref="IP32:IV32"/>
    <mergeCell ref="IC38:IM38"/>
    <mergeCell ref="GC38:GM38"/>
    <mergeCell ref="FC32:FM32"/>
    <mergeCell ref="DP38:DZ38"/>
    <mergeCell ref="EC38:EM38"/>
    <mergeCell ref="GP38:GZ38"/>
    <mergeCell ref="HC38:HM38"/>
    <mergeCell ref="HP38:HZ38"/>
    <mergeCell ref="IC30:IM30"/>
    <mergeCell ref="FP38:FZ38"/>
    <mergeCell ref="IP39:IV39"/>
    <mergeCell ref="EP39:EZ39"/>
    <mergeCell ref="FC39:FM39"/>
    <mergeCell ref="FP39:FZ39"/>
    <mergeCell ref="GP39:GZ39"/>
    <mergeCell ref="IC39:IM39"/>
    <mergeCell ref="HC39:HM39"/>
    <mergeCell ref="C57:M57"/>
    <mergeCell ref="C59:M59"/>
    <mergeCell ref="C58:M58"/>
    <mergeCell ref="C50:M50"/>
    <mergeCell ref="C47:M47"/>
    <mergeCell ref="C48:M48"/>
    <mergeCell ref="C49:M49"/>
    <mergeCell ref="GC39:GM39"/>
    <mergeCell ref="HP39:HZ39"/>
    <mergeCell ref="DP39:DZ39"/>
    <mergeCell ref="EC39:EM39"/>
    <mergeCell ref="C44:M44"/>
    <mergeCell ref="DP40:DZ40"/>
    <mergeCell ref="CC40:CM40"/>
    <mergeCell ref="CP40:CZ40"/>
    <mergeCell ref="DC40:DM40"/>
    <mergeCell ref="C40:M40"/>
    <mergeCell ref="AP40:AZ40"/>
    <mergeCell ref="FC40:FM40"/>
    <mergeCell ref="FP40:FZ40"/>
    <mergeCell ref="HP40:HZ40"/>
    <mergeCell ref="EC40:EM40"/>
    <mergeCell ref="EP40:EZ40"/>
    <mergeCell ref="IP40:IV40"/>
    <mergeCell ref="C45:M45"/>
    <mergeCell ref="C46:M46"/>
    <mergeCell ref="GC40:GM40"/>
    <mergeCell ref="GP40:GZ40"/>
    <mergeCell ref="HC40:HM40"/>
    <mergeCell ref="IC40:IM40"/>
    <mergeCell ref="C43:M43"/>
    <mergeCell ref="BC40:BM40"/>
    <mergeCell ref="BP40:B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2012-10-26T12:35:09Z</cp:lastPrinted>
  <dcterms:created xsi:type="dcterms:W3CDTF">1997-12-04T19:04:30Z</dcterms:created>
  <dcterms:modified xsi:type="dcterms:W3CDTF">2013-03-21T13:35:19Z</dcterms:modified>
</cp:coreProperties>
</file>