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-15" yWindow="-15" windowWidth="1267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6" i="1" l="1"/>
  <c r="H521" i="1"/>
  <c r="H525" i="1"/>
  <c r="F520" i="1"/>
  <c r="G612" i="1"/>
  <c r="G610" i="1"/>
  <c r="J590" i="1"/>
  <c r="I590" i="1"/>
  <c r="H590" i="1"/>
  <c r="H603" i="1"/>
  <c r="I506" i="1"/>
  <c r="F498" i="1"/>
  <c r="F497" i="1"/>
  <c r="I243" i="1" l="1"/>
  <c r="H243" i="1"/>
  <c r="I225" i="1"/>
  <c r="H225" i="1"/>
  <c r="I207" i="1"/>
  <c r="H207" i="1"/>
  <c r="K239" i="1"/>
  <c r="I239" i="1"/>
  <c r="H239" i="1"/>
  <c r="G239" i="1"/>
  <c r="F239" i="1"/>
  <c r="K221" i="1"/>
  <c r="I221" i="1"/>
  <c r="H221" i="1"/>
  <c r="G221" i="1"/>
  <c r="F221" i="1"/>
  <c r="K203" i="1"/>
  <c r="I203" i="1"/>
  <c r="H203" i="1"/>
  <c r="G203" i="1"/>
  <c r="F203" i="1"/>
  <c r="I206" i="1"/>
  <c r="H202" i="1"/>
  <c r="G202" i="1"/>
  <c r="F202" i="1"/>
  <c r="H237" i="1"/>
  <c r="H219" i="1"/>
  <c r="H201" i="1"/>
  <c r="I201" i="1"/>
  <c r="G201" i="1"/>
  <c r="F201" i="1"/>
  <c r="H199" i="1"/>
  <c r="H235" i="1"/>
  <c r="G199" i="1"/>
  <c r="G235" i="1"/>
  <c r="F235" i="1"/>
  <c r="H197" i="1"/>
  <c r="I233" i="1"/>
  <c r="I197" i="1"/>
  <c r="H233" i="1"/>
  <c r="H215" i="1"/>
  <c r="G197" i="1"/>
  <c r="G233" i="1"/>
  <c r="F197" i="1"/>
  <c r="F233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L205" i="1"/>
  <c r="L223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F15" i="13" s="1"/>
  <c r="L220" i="1"/>
  <c r="L238" i="1"/>
  <c r="F12" i="13"/>
  <c r="G12" i="13"/>
  <c r="L204" i="1"/>
  <c r="L222" i="1"/>
  <c r="L240" i="1"/>
  <c r="F14" i="13"/>
  <c r="G14" i="13"/>
  <c r="L206" i="1"/>
  <c r="L224" i="1"/>
  <c r="L242" i="1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C27" i="10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1" i="10"/>
  <c r="C12" i="10"/>
  <c r="C13" i="10"/>
  <c r="C15" i="10"/>
  <c r="C16" i="10"/>
  <c r="C18" i="10"/>
  <c r="C20" i="10"/>
  <c r="L249" i="1"/>
  <c r="L331" i="1"/>
  <c r="L253" i="1"/>
  <c r="C24" i="10" s="1"/>
  <c r="C25" i="10"/>
  <c r="L267" i="1"/>
  <c r="L268" i="1"/>
  <c r="L348" i="1"/>
  <c r="L349" i="1"/>
  <c r="I664" i="1"/>
  <c r="I669" i="1"/>
  <c r="F660" i="1"/>
  <c r="G660" i="1"/>
  <c r="H660" i="1"/>
  <c r="F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H649" i="1"/>
  <c r="G650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I256" i="1"/>
  <c r="I270" i="1" s="1"/>
  <c r="G256" i="1"/>
  <c r="G270" i="1" s="1"/>
  <c r="G163" i="2"/>
  <c r="G159" i="2"/>
  <c r="C18" i="2"/>
  <c r="F31" i="2"/>
  <c r="C26" i="10"/>
  <c r="L327" i="1"/>
  <c r="L350" i="1"/>
  <c r="L289" i="1"/>
  <c r="A31" i="12"/>
  <c r="A40" i="12"/>
  <c r="D12" i="13"/>
  <c r="C12" i="13" s="1"/>
  <c r="G8" i="2"/>
  <c r="G161" i="2"/>
  <c r="E49" i="2"/>
  <c r="D18" i="13"/>
  <c r="C18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50" i="2" s="1"/>
  <c r="F18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E31" i="2"/>
  <c r="C31" i="2"/>
  <c r="G61" i="2"/>
  <c r="D29" i="13"/>
  <c r="C29" i="13" s="1"/>
  <c r="D19" i="13"/>
  <c r="C19" i="13" s="1"/>
  <c r="D14" i="13"/>
  <c r="C14" i="13" s="1"/>
  <c r="H433" i="1" l="1"/>
  <c r="G570" i="1"/>
  <c r="C10" i="10"/>
  <c r="L228" i="1"/>
  <c r="J634" i="1"/>
  <c r="F544" i="1"/>
  <c r="I433" i="1"/>
  <c r="G433" i="1"/>
  <c r="I337" i="1"/>
  <c r="I351" i="1" s="1"/>
  <c r="G162" i="2"/>
  <c r="D61" i="2"/>
  <c r="D62" i="2" s="1"/>
  <c r="I662" i="1"/>
  <c r="J641" i="1"/>
  <c r="K433" i="1"/>
  <c r="G133" i="2" s="1"/>
  <c r="G143" i="2" s="1"/>
  <c r="G144" i="2" s="1"/>
  <c r="A22" i="12"/>
  <c r="F31" i="13"/>
  <c r="G661" i="1"/>
  <c r="I661" i="1" s="1"/>
  <c r="C17" i="10"/>
  <c r="F256" i="1"/>
  <c r="F270" i="1" s="1"/>
  <c r="J649" i="1"/>
  <c r="C21" i="10"/>
  <c r="J648" i="1"/>
  <c r="D15" i="13"/>
  <c r="C15" i="13" s="1"/>
  <c r="K246" i="1"/>
  <c r="K256" i="1" s="1"/>
  <c r="K270" i="1" s="1"/>
  <c r="G13" i="13"/>
  <c r="L210" i="1"/>
  <c r="F659" i="1" s="1"/>
  <c r="F663" i="1" s="1"/>
  <c r="C69" i="2"/>
  <c r="C80" i="2" s="1"/>
  <c r="F139" i="1"/>
  <c r="D50" i="2"/>
  <c r="H616" i="1"/>
  <c r="J616" i="1" s="1"/>
  <c r="F59" i="1"/>
  <c r="C55" i="2" s="1"/>
  <c r="C62" i="2" s="1"/>
  <c r="E77" i="2"/>
  <c r="E80" i="2" s="1"/>
  <c r="F103" i="2"/>
  <c r="L426" i="1"/>
  <c r="J256" i="1"/>
  <c r="J270" i="1" s="1"/>
  <c r="H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I660" i="1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L564" i="1"/>
  <c r="G544" i="1"/>
  <c r="L544" i="1"/>
  <c r="H544" i="1"/>
  <c r="K550" i="1"/>
  <c r="F143" i="2"/>
  <c r="F144" i="2" s="1"/>
  <c r="L433" i="1" l="1"/>
  <c r="G637" i="1" s="1"/>
  <c r="J637" i="1" s="1"/>
  <c r="L570" i="1"/>
  <c r="K551" i="1"/>
  <c r="L241" i="1"/>
  <c r="E13" i="13"/>
  <c r="C13" i="13" s="1"/>
  <c r="G33" i="13"/>
  <c r="H647" i="1"/>
  <c r="J647" i="1" s="1"/>
  <c r="H192" i="1"/>
  <c r="G628" i="1" s="1"/>
  <c r="J628" i="1" s="1"/>
  <c r="C38" i="10"/>
  <c r="C103" i="2"/>
  <c r="C35" i="10"/>
  <c r="F111" i="1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36" i="10" l="1"/>
  <c r="L246" i="1"/>
  <c r="C19" i="10"/>
  <c r="C121" i="2"/>
  <c r="C127" i="2" s="1"/>
  <c r="C144" i="2" s="1"/>
  <c r="C41" i="10"/>
  <c r="D39" i="10" s="1"/>
  <c r="F192" i="1"/>
  <c r="G626" i="1" s="1"/>
  <c r="J626" i="1" s="1"/>
  <c r="G636" i="1"/>
  <c r="J636" i="1" s="1"/>
  <c r="H645" i="1"/>
  <c r="J645" i="1" s="1"/>
  <c r="D33" i="13"/>
  <c r="D36" i="13" s="1"/>
  <c r="G663" i="1"/>
  <c r="D37" i="10"/>
  <c r="D38" i="10"/>
  <c r="J625" i="1"/>
  <c r="H659" i="1" l="1"/>
  <c r="L256" i="1"/>
  <c r="L270" i="1" s="1"/>
  <c r="G631" i="1" s="1"/>
  <c r="C28" i="10"/>
  <c r="D19" i="10" s="1"/>
  <c r="D36" i="10"/>
  <c r="D40" i="10"/>
  <c r="D35" i="10"/>
  <c r="D41" i="10" s="1"/>
  <c r="G671" i="1"/>
  <c r="C5" i="10" s="1"/>
  <c r="G666" i="1"/>
  <c r="D23" i="10" l="1"/>
  <c r="D27" i="10"/>
  <c r="D17" i="10"/>
  <c r="D22" i="10"/>
  <c r="D26" i="10"/>
  <c r="D18" i="10"/>
  <c r="D13" i="10"/>
  <c r="D20" i="10"/>
  <c r="D10" i="10"/>
  <c r="D25" i="10"/>
  <c r="D11" i="10"/>
  <c r="C30" i="10"/>
  <c r="D15" i="10"/>
  <c r="D24" i="10"/>
  <c r="D16" i="10"/>
  <c r="D12" i="10"/>
  <c r="D21" i="10"/>
  <c r="H663" i="1"/>
  <c r="I659" i="1"/>
  <c r="I663" i="1" s="1"/>
  <c r="J631" i="1"/>
  <c r="H655" i="1"/>
  <c r="I671" i="1" l="1"/>
  <c r="C7" i="10" s="1"/>
  <c r="I666" i="1"/>
  <c r="D28" i="10"/>
  <c r="H666" i="1"/>
  <c r="H671" i="1"/>
  <c r="C6" i="10" s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<sst xmlns="http://schemas.openxmlformats.org/spreadsheetml/2006/main" count="3947" uniqueCount="914">
  <si>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</si>
  <si>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</si>
  <si>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</si>
  <si>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</si>
  <si>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</si>
  <si>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</si>
  <si>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</si>
  <si>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</si>
  <si>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</si>
  <si>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</si>
  <si>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</si>
  <si>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</si>
  <si>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</si>
  <si>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</si>
  <si>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</si>
  <si>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</si>
  <si>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</si>
  <si>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</si>
  <si>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</si>
  <si>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</si>
  <si>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</si>
  <si>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</si>
  <si>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</si>
  <si>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</si>
  <si>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</si>
  <si>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</si>
  <si>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</si>
  <si>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</si>
  <si>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</si>
  <si>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</si>
  <si>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</si>
  <si>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</si>
  <si>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</si>
  <si>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</si>
  <si>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</si>
  <si>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</si>
  <si>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</si>
  <si>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</si>
  <si>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</si>
  <si>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</si>
  <si>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</si>
  <si>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</si>
  <si>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</si>
  <si>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</si>
  <si>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</si>
  <si>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</si>
  <si>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</si>
  <si>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</si>
  <si>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</si>
  <si>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</si>
  <si>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</si>
  <si>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</si>
  <si>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</si>
  <si>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</si>
  <si>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</si>
  <si>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</si>
  <si>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</si>
  <si>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</si>
  <si>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</si>
  <si>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</si>
  <si>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</si>
  <si>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</si>
  <si>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</si>
  <si>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</si>
  <si>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</si>
  <si>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</si>
  <si>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</si>
  <si>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</si>
  <si>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</si>
  <si>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</si>
  <si>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</si>
  <si>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</si>
  <si>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</si>
  <si>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</si>
  <si>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</si>
  <si>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</si>
  <si>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</si>
  <si>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</si>
  <si>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</si>
  <si>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</si>
  <si>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</si>
  <si>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</si>
  <si>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</si>
  <si>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</si>
  <si>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</si>
  <si>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</si>
  <si>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</si>
  <si>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</si>
  <si>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</si>
  <si>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</si>
  <si>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</si>
  <si>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</si>
  <si>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</si>
  <si>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</si>
  <si>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</si>
  <si>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</si>
  <si>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</si>
  <si>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</si>
  <si>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</si>
  <si>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</si>
  <si>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</si>
  <si>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</si>
  <si>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</si>
  <si>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</si>
  <si>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</si>
  <si>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</si>
  <si>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</si>
  <si>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</si>
  <si>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</si>
  <si>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</si>
  <si>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</si>
  <si>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</si>
  <si>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</si>
  <si>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</si>
  <si>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</si>
  <si>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</si>
  <si>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</si>
  <si>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</si>
  <si>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</si>
  <si>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</si>
  <si>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</si>
  <si>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</si>
  <si>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</si>
  <si>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</si>
  <si>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</si>
  <si>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</si>
  <si>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</si>
  <si>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</si>
  <si>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</si>
  <si>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</si>
  <si>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</si>
  <si>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</si>
  <si>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</si>
  <si>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</si>
  <si>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</si>
  <si>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</si>
  <si>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</si>
  <si>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</si>
  <si>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</si>
  <si>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</si>
  <si>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</si>
  <si>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</si>
  <si>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</si>
  <si>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</si>
  <si>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</si>
  <si>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</si>
  <si>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</si>
  <si>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</si>
  <si>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</si>
  <si>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</si>
  <si>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</si>
  <si>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</si>
  <si>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</si>
  <si>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</si>
  <si>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</si>
  <si>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</si>
  <si>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</si>
  <si>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</si>
  <si>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</si>
  <si>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</si>
  <si>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</si>
  <si>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</si>
  <si>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</si>
  <si>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</si>
  <si>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</si>
  <si>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</si>
  <si>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</si>
  <si>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</si>
  <si>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</si>
  <si>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</si>
  <si>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</si>
  <si>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</si>
  <si>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</si>
  <si>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</si>
  <si>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</si>
  <si>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</si>
  <si>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</si>
  <si>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</si>
  <si>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</si>
  <si>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</si>
  <si>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</si>
  <si>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</si>
  <si>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</si>
  <si>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</si>
  <si>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</si>
  <si>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</si>
  <si>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</si>
  <si>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</si>
  <si>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</si>
  <si>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</si>
  <si>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</si>
  <si>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</si>
  <si>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</si>
  <si>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</si>
  <si>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</si>
  <si>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</si>
  <si>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</si>
  <si>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</si>
  <si>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</si>
  <si>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</si>
  <si>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</si>
  <si>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</si>
  <si>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</si>
  <si>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</si>
  <si>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</si>
  <si>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</si>
  <si>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</si>
  <si>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</si>
  <si>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</si>
  <si>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</si>
  <si>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</si>
  <si>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</si>
  <si>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</si>
  <si>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</si>
  <si>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</si>
  <si>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</si>
  <si>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</si>
  <si>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</si>
  <si>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</si>
  <si>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</si>
  <si>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</si>
  <si>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</si>
  <si>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</si>
  <si>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</si>
  <si>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</si>
  <si>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</si>
  <si>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</si>
  <si>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</si>
  <si>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</si>
  <si>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</si>
  <si>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</si>
  <si>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</si>
  <si>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</si>
  <si>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</si>
  <si>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</si>
  <si>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</si>
  <si>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</si>
  <si>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</si>
  <si>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</si>
  <si>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</si>
  <si>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</si>
  <si>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</si>
  <si>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</si>
  <si>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</si>
  <si>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</si>
  <si>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</si>
  <si>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</si>
  <si>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</si>
  <si>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</si>
  <si>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</si>
  <si>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</si>
  <si>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</si>
  <si>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</si>
  <si>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</si>
  <si>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</si>
  <si>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</si>
  <si>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</si>
  <si>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</si>
  <si>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</si>
  <si>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</si>
  <si>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</si>
  <si>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</si>
  <si>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</si>
  <si>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</si>
  <si>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</si>
  <si>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</si>
  <si>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</si>
  <si>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</si>
  <si>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</si>
  <si>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</si>
  <si>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</si>
  <si>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</si>
  <si>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</si>
  <si>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</si>
  <si>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</si>
  <si>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</si>
  <si>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</si>
  <si>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</si>
  <si>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</si>
  <si>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</si>
  <si>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</si>
  <si>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</si>
  <si>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</si>
  <si>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</si>
  <si>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</si>
  <si>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</si>
  <si>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</si>
  <si>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</si>
  <si>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</si>
  <si>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</si>
  <si>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</si>
  <si>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</si>
  <si>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</si>
  <si>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</si>
  <si>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</si>
  <si>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</si>
  <si>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</si>
  <si>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</si>
  <si>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</si>
  <si>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</si>
  <si>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</si>
  <si>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</si>
  <si>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</si>
  <si>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</si>
  <si>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</si>
  <si>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</si>
  <si>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</si>
  <si>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</si>
  <si>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</si>
  <si>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</si>
  <si>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</si>
  <si>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</si>
  <si>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</si>
  <si>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</si>
  <si>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</si>
  <si>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</si>
  <si>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</si>
  <si>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</si>
  <si>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</si>
  <si>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</si>
  <si>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</si>
  <si>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</si>
  <si>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</si>
  <si>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</si>
  <si>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</si>
  <si>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</si>
  <si>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</si>
  <si>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</si>
  <si>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</si>
  <si>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</si>
  <si>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</si>
  <si>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</si>
  <si>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</si>
  <si>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</si>
  <si>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</si>
  <si>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</si>
  <si>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</si>
  <si>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</si>
  <si>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</si>
  <si>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</si>
  <si>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</si>
  <si>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</si>
  <si>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</si>
  <si>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</si>
  <si>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</si>
  <si>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</si>
  <si>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</si>
  <si>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</si>
  <si>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</si>
  <si>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</si>
  <si>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</si>
  <si>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</si>
  <si>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</si>
  <si>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</si>
  <si>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</si>
  <si>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</si>
  <si>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</si>
  <si>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</si>
  <si>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</si>
  <si>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</si>
  <si>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</si>
  <si>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</si>
  <si>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</si>
  <si>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</si>
  <si>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</si>
  <si>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</si>
  <si>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</si>
  <si>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</si>
  <si>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</si>
  <si>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</si>
  <si>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</si>
  <si>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</si>
  <si>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</si>
  <si>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</si>
  <si>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</si>
  <si>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</si>
  <si>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</si>
  <si>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</si>
  <si>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</si>
  <si>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</si>
  <si>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</si>
  <si>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</si>
  <si>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</si>
  <si>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</si>
  <si>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</si>
  <si>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</si>
  <si>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</si>
  <si>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</si>
  <si>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</si>
  <si>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</si>
  <si>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</si>
  <si>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</si>
  <si>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</si>
  <si>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</si>
  <si>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</si>
  <si>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</si>
  <si>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</si>
  <si>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</si>
  <si>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</si>
  <si>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</si>
  <si>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</si>
  <si>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</si>
  <si>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</si>
  <si>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</si>
  <si>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</si>
  <si>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</si>
  <si>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</si>
  <si>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</si>
  <si>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</si>
  <si>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</si>
  <si>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</si>
  <si>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</si>
  <si>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</si>
  <si>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</si>
  <si>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</si>
  <si>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</si>
  <si>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</si>
  <si>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</si>
  <si>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</si>
  <si>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</si>
  <si>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</si>
  <si>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</si>
  <si>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</si>
  <si>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</si>
  <si>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</si>
  <si>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</si>
  <si>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</si>
  <si>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</si>
  <si>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</si>
  <si>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</si>
  <si>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</si>
  <si>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</si>
  <si>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</si>
  <si>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</si>
  <si>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</si>
  <si>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</si>
  <si>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</si>
  <si>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</si>
  <si>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</si>
  <si>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</si>
  <si>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</si>
  <si>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</si>
  <si>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</si>
  <si>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</si>
  <si>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</si>
  <si>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</si>
  <si>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</si>
  <si>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</si>
  <si>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</si>
  <si>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</si>
  <si>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</si>
  <si>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</si>
  <si>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</si>
  <si>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</si>
  <si>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</si>
  <si>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</si>
  <si>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</si>
  <si>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</si>
  <si>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</si>
  <si>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</si>
  <si>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</si>
  <si>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</si>
  <si>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</si>
  <si>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</si>
  <si>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</si>
  <si>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</si>
  <si>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</si>
  <si>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</si>
  <si>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</si>
  <si>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</si>
  <si>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</si>
  <si>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</si>
  <si>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</si>
  <si>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</si>
  <si>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</si>
  <si>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</si>
  <si>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</si>
  <si>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</si>
  <si>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</si>
  <si>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</si>
  <si>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</si>
  <si>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</si>
  <si>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</si>
  <si>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</si>
  <si>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</si>
  <si>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</si>
  <si>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</si>
  <si>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</si>
  <si>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</si>
  <si>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</si>
  <si>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</si>
  <si>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</si>
  <si>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</si>
  <si>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</si>
  <si>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</si>
  <si>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</si>
  <si>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</si>
  <si>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</si>
  <si>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</si>
  <si>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</si>
  <si>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</si>
  <si>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</si>
  <si>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</si>
  <si>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</si>
  <si>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</si>
  <si>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</si>
  <si>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</si>
  <si>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</si>
  <si>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</si>
  <si>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</si>
  <si>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</si>
  <si>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</si>
  <si>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</si>
  <si>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</si>
  <si>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</si>
  <si>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</si>
  <si>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</si>
  <si>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</si>
  <si>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</si>
  <si>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</si>
  <si>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</si>
  <si>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</si>
  <si>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</si>
  <si>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</si>
  <si>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</si>
  <si>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</si>
  <si>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</si>
  <si>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</si>
  <si>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</si>
  <si>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</si>
  <si>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</si>
  <si>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</si>
  <si>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</si>
  <si>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</si>
  <si>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</si>
  <si>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</si>
  <si>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</si>
  <si>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</si>
  <si>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</si>
  <si>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</si>
  <si>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</si>
  <si>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</si>
  <si>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</si>
  <si>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</si>
  <si>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</si>
  <si>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</si>
  <si>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</si>
  <si>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</si>
  <si>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</si>
  <si>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</si>
  <si>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</si>
  <si>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</si>
  <si>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</si>
  <si>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</si>
  <si>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</si>
  <si>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</si>
  <si>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</si>
  <si>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</si>
  <si>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</si>
  <si>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</si>
  <si>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</si>
  <si>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</si>
  <si>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</si>
  <si>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</si>
  <si>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</si>
  <si>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</si>
  <si>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</si>
  <si>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</si>
  <si>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</si>
  <si>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</si>
  <si>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</si>
  <si>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</si>
  <si>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</si>
  <si>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</si>
  <si>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</si>
  <si>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</si>
  <si>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</si>
  <si>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</si>
  <si>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</si>
  <si>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</si>
  <si>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</si>
  <si>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</si>
  <si>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</si>
  <si>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</si>
  <si>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</si>
  <si>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</si>
  <si>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</si>
  <si>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</si>
  <si>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</si>
  <si>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</si>
  <si>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</si>
  <si>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</si>
  <si>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</si>
  <si>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</si>
  <si>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</si>
  <si>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</si>
  <si>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</si>
  <si>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</si>
  <si>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</si>
  <si>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</si>
  <si>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</si>
  <si>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</si>
  <si>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</si>
  <si>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</si>
  <si>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</si>
  <si>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</si>
  <si>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</si>
  <si>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</si>
  <si>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</si>
  <si>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</si>
  <si>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</si>
  <si>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</si>
  <si>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</si>
  <si>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</si>
  <si>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</si>
  <si>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</si>
  <si>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</si>
  <si>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</si>
  <si>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</si>
  <si>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</si>
  <si>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</si>
  <si>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</si>
  <si>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</si>
  <si>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</si>
  <si>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</si>
  <si>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</si>
  <si>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</si>
  <si>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</si>
  <si>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</si>
  <si>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</si>
  <si>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</si>
  <si>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</si>
  <si>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</si>
  <si>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</si>
  <si>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</si>
  <si>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</si>
  <si>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</si>
  <si>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</si>
  <si>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</si>
  <si>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</si>
  <si>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</si>
  <si>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</si>
  <si>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</si>
  <si>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</si>
  <si>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</si>
  <si>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</si>
  <si>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</si>
  <si>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</si>
  <si>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</si>
  <si>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</si>
  <si>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</si>
  <si>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</si>
  <si>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</si>
  <si>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</si>
  <si>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</si>
  <si>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</si>
  <si>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</si>
  <si>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</si>
  <si>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</si>
  <si>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</si>
  <si>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</si>
  <si>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</si>
  <si>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</si>
  <si>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</si>
  <si>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</si>
  <si>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</si>
  <si>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</si>
  <si>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</si>
  <si>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</si>
  <si>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</si>
  <si>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</si>
  <si>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</si>
  <si>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</si>
  <si>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</si>
  <si>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</si>
  <si>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</si>
  <si>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</si>
  <si>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</si>
  <si>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</si>
  <si>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</si>
  <si>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</si>
  <si>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</si>
  <si>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</si>
  <si>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</si>
  <si>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</si>
  <si>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</si>
  <si>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</si>
  <si>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</si>
  <si>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</si>
  <si>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</si>
  <si>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</si>
  <si>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</si>
  <si>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</si>
  <si>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</si>
  <si>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</si>
  <si>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</si>
  <si>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</si>
  <si>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</si>
  <si>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</si>
  <si>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</si>
  <si>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</si>
  <si>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</si>
  <si>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</si>
  <si>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</si>
  <si>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</si>
  <si>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</si>
  <si>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</si>
  <si>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</si>
  <si>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</si>
  <si>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</si>
  <si>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</si>
  <si>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</si>
  <si>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</si>
  <si>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</si>
  <si>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</si>
  <si>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</si>
  <si>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</si>
  <si>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</si>
  <si>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</si>
  <si>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</si>
  <si>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</si>
  <si>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</si>
  <si>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</si>
  <si>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</si>
  <si>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</si>
  <si>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</si>
  <si>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</si>
  <si>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</si>
  <si>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</si>
  <si>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</si>
  <si>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</si>
  <si>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</si>
  <si>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</si>
  <si>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</si>
  <si>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</si>
  <si>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</si>
  <si>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</si>
  <si>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</si>
  <si>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</si>
  <si>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</si>
  <si>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</si>
  <si>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</si>
  <si>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</si>
  <si>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</si>
  <si>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</si>
  <si>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</si>
  <si>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</si>
  <si>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</si>
  <si>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</si>
  <si>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</si>
  <si>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</si>
  <si>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</si>
  <si>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</si>
  <si>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</si>
  <si>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</si>
  <si>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</si>
  <si>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</si>
  <si>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</si>
  <si>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</si>
  <si>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</si>
  <si>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</si>
  <si>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</si>
  <si>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</si>
  <si>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</si>
  <si>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</si>
  <si>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</si>
  <si>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</si>
  <si>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</si>
  <si>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</si>
  <si>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</si>
  <si>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</si>
  <si>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</si>
  <si>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</si>
  <si>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</si>
  <si>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</si>
  <si>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</si>
  <si>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</si>
  <si>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</si>
  <si>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</si>
  <si>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</si>
  <si>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</si>
  <si>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</si>
  <si>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</si>
  <si>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</si>
  <si>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</si>
  <si>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</si>
  <si>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</si>
  <si>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</si>
  <si>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</si>
  <si>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</si>
  <si>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</si>
  <si>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</si>
  <si>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</si>
  <si>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</si>
  <si>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</si>
  <si>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</si>
  <si>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</si>
  <si>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</si>
  <si>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</si>
  <si>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</si>
  <si>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</si>
  <si>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</si>
  <si>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</si>
  <si>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</si>
  <si>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</si>
  <si>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</si>
  <si>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</si>
  <si>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</si>
  <si>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</si>
  <si>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</si>
  <si>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</si>
  <si>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</si>
  <si>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</si>
  <si>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</si>
  <si>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</si>
  <si>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</si>
  <si>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</si>
  <si>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</si>
  <si>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</si>
  <si>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</si>
  <si>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</si>
  <si>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</si>
  <si>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</si>
  <si>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</si>
  <si>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</si>
  <si>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</si>
  <si>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</si>
  <si>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</si>
  <si>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</si>
  <si>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</si>
  <si>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</si>
  <si>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</si>
  <si>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</si>
  <si>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</si>
  <si>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</si>
  <si>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</si>
  <si>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</si>
  <si>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</si>
  <si>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</si>
  <si>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</si>
  <si>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</si>
  <si>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</si>
  <si>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</si>
  <si>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</si>
  <si>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</si>
  <si>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</si>
  <si>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</si>
  <si>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</si>
  <si>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</si>
  <si>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</si>
  <si>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</si>
  <si>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</si>
  <si>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</si>
  <si>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</si>
  <si>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</si>
  <si>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</si>
  <si>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</si>
  <si>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</si>
  <si>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</si>
  <si>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</si>
  <si>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</si>
  <si>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</si>
  <si>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</si>
  <si>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</si>
  <si>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</si>
  <si>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</si>
  <si>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</si>
  <si>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</si>
  <si>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</si>
  <si>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</si>
  <si>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</si>
  <si>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</si>
  <si>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</si>
  <si>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</si>
  <si>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</si>
  <si>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</si>
  <si>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</si>
  <si>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</si>
  <si>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</si>
  <si>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</si>
  <si>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</si>
  <si>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</si>
  <si>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</si>
  <si>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</si>
  <si>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</si>
  <si>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</si>
  <si>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</si>
  <si>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</si>
  <si>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</si>
  <si>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</si>
  <si>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</si>
  <si>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</si>
  <si>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</si>
  <si>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</si>
  <si>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</si>
  <si>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</si>
  <si>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</si>
  <si>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</si>
  <si>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</si>
  <si>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</si>
  <si>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</si>
  <si>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</si>
  <si>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</si>
  <si>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</si>
  <si>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</si>
  <si>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</si>
  <si>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</si>
  <si>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</si>
  <si>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</si>
  <si>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Milan School District</t>
  </si>
  <si>
    <t>06/2002</t>
  </si>
  <si>
    <t>07/2017</t>
  </si>
  <si>
    <t>Contracted Services - Educational Assistants at Berlin High</t>
  </si>
  <si>
    <t>Contracted Services - Educational Assistants at middle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</si>
</sst>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" fillId="0" borderId="0" xfId="0" quotePrefix="1" applyNumberFormat="1" applyFont="1" applyAlignment="1" applyProtection="1">
      <alignment horizontal="center"/>
      <protection locked="0"/>
    </xf>
    <xf numFmtId="40" fontId="2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3">
    <cellStyle name="Comma 2" xfId="1"/>
    <cellStyle name="Normal" xfId="0" builtinId="0"/>
    <cellStyle name="Percent 2" xfId="2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G668" sqref="G66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909</v>
      </c>
      <c r="B2" s="21">
        <v>355</v>
      </c>
      <c r="C2" s="21">
        <v>355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281429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53006.559999999998</v>
      </c>
      <c r="G10" s="18"/>
      <c r="H10" s="18"/>
      <c r="I10" s="18"/>
      <c r="J10" s="67">
        <f>SUM(I439)</f>
        <v>225328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31821.66</v>
      </c>
      <c r="G12" s="18">
        <v>1022.92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27061.63</v>
      </c>
      <c r="G13" s="18">
        <v>2261.36</v>
      </c>
      <c r="H13" s="18">
        <v>53251.31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182.59</v>
      </c>
      <c r="G14" s="18"/>
      <c r="H14" s="18">
        <v>250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393501.44</v>
      </c>
      <c r="G19" s="41">
        <f>SUM(G9:G18)</f>
        <v>3284.28</v>
      </c>
      <c r="H19" s="41">
        <f>SUM(H9:H18)</f>
        <v>53501.31</v>
      </c>
      <c r="I19" s="41">
        <f>SUM(I9:I18)</f>
        <v>0</v>
      </c>
      <c r="J19" s="41">
        <f>SUM(J9:J18)</f>
        <v>225328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32844.58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5278.09</v>
      </c>
      <c r="G24" s="18">
        <v>1194.45</v>
      </c>
      <c r="H24" s="18">
        <v>16052.67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1725.95</v>
      </c>
      <c r="G28" s="18"/>
      <c r="H28" s="18">
        <v>357.21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300000</v>
      </c>
      <c r="G30" s="18"/>
      <c r="H30" s="18">
        <v>4246.8500000000004</v>
      </c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307004.03999999998</v>
      </c>
      <c r="G32" s="41">
        <f>SUM(G22:G31)</f>
        <v>1194.45</v>
      </c>
      <c r="H32" s="41">
        <f>SUM(H22:H31)</f>
        <v>53501.31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2089.83</v>
      </c>
      <c r="H47" s="18"/>
      <c r="I47" s="18"/>
      <c r="J47" s="13">
        <f>SUM(I458)</f>
        <v>225328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81497.399999999994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86497.4</v>
      </c>
      <c r="G50" s="41">
        <f>SUM(G35:G49)</f>
        <v>2089.83</v>
      </c>
      <c r="H50" s="41">
        <f>SUM(H35:H49)</f>
        <v>0</v>
      </c>
      <c r="I50" s="41">
        <f>SUM(I35:I49)</f>
        <v>0</v>
      </c>
      <c r="J50" s="41">
        <f>SUM(J35:J49)</f>
        <v>225328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393501.43999999994</v>
      </c>
      <c r="G51" s="41">
        <f>G50+G32</f>
        <v>3284.2799999999997</v>
      </c>
      <c r="H51" s="41">
        <f>H50+H32</f>
        <v>53501.31</v>
      </c>
      <c r="I51" s="41">
        <f>I50+I32</f>
        <v>0</v>
      </c>
      <c r="J51" s="41">
        <f>J50+J32</f>
        <v>225328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1071345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1071345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v>148429.57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148429.57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394.56</v>
      </c>
      <c r="G95" s="18"/>
      <c r="H95" s="18"/>
      <c r="I95" s="18"/>
      <c r="J95" s="18">
        <v>223.25</v>
      </c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26625.46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7000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16847.439999999999</v>
      </c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>
        <v>4</v>
      </c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64708.43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1069.6099999999999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73176.600000000006</v>
      </c>
      <c r="G110" s="41">
        <f>SUM(G95:G109)</f>
        <v>26625.46</v>
      </c>
      <c r="H110" s="41">
        <f>SUM(H95:H109)</f>
        <v>16847.439999999999</v>
      </c>
      <c r="I110" s="41">
        <f>SUM(I95:I109)</f>
        <v>0</v>
      </c>
      <c r="J110" s="41">
        <f>SUM(J95:J109)</f>
        <v>223.25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1292951.1700000002</v>
      </c>
      <c r="G111" s="41">
        <f>G59+G110</f>
        <v>26625.46</v>
      </c>
      <c r="H111" s="41">
        <f>H59+H78+H93+H110</f>
        <v>16847.439999999999</v>
      </c>
      <c r="I111" s="41">
        <f>I59+I110</f>
        <v>0</v>
      </c>
      <c r="J111" s="41">
        <f>J59+J110</f>
        <v>223.25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1138717.3799999999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236811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986.62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1376515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78251.37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1806.7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494.03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4307.9799999999996</v>
      </c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80058.069999999992</v>
      </c>
      <c r="G135" s="41">
        <f>SUM(G122:G134)</f>
        <v>4802.0099999999993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1456573.07</v>
      </c>
      <c r="G139" s="41">
        <f>G120+SUM(G135:G136)</f>
        <v>4802.0099999999993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24318.68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84761.74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12701.94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35410.730000000003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20505.03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20505.03</v>
      </c>
      <c r="G161" s="41">
        <f>SUM(G149:G160)</f>
        <v>12701.94</v>
      </c>
      <c r="H161" s="41">
        <f>SUM(H149:H160)</f>
        <v>144491.15000000002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3873.59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24378.62</v>
      </c>
      <c r="G168" s="41">
        <f>G146+G161+SUM(G162:G167)</f>
        <v>12701.94</v>
      </c>
      <c r="H168" s="41">
        <f>H146+H161+SUM(H162:H167)</f>
        <v>144491.15000000002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5000</v>
      </c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5000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5000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2773902.8600000003</v>
      </c>
      <c r="G192" s="47">
        <f>G111+G139+G168+G191</f>
        <v>44129.409999999996</v>
      </c>
      <c r="H192" s="47">
        <f>H111+H139+H168+H191</f>
        <v>161338.59000000003</v>
      </c>
      <c r="I192" s="47">
        <f>I111+I139+I168+I191</f>
        <v>0</v>
      </c>
      <c r="J192" s="47">
        <f>J111+J139+J191</f>
        <v>5223.25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316496.05</v>
      </c>
      <c r="G196" s="18">
        <v>142312.78</v>
      </c>
      <c r="H196" s="18">
        <v>2267.9</v>
      </c>
      <c r="I196" s="18">
        <v>12634.22</v>
      </c>
      <c r="J196" s="18">
        <v>3263.62</v>
      </c>
      <c r="K196" s="18">
        <v>260</v>
      </c>
      <c r="L196" s="19">
        <f>SUM(F196:K196)</f>
        <v>477234.56999999995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107460.69-40290</f>
        <v>67170.69</v>
      </c>
      <c r="G197" s="18">
        <f>49721.41-21757.29</f>
        <v>27964.120000000003</v>
      </c>
      <c r="H197" s="18">
        <f>24.39+86.44</f>
        <v>110.83</v>
      </c>
      <c r="I197" s="18">
        <f>442.61+24</f>
        <v>466.61</v>
      </c>
      <c r="J197" s="18"/>
      <c r="K197" s="18"/>
      <c r="L197" s="19">
        <f>SUM(F197:K197)</f>
        <v>95712.25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2142.34</v>
      </c>
      <c r="G199" s="18">
        <f>163.91+114.19+6.39+7.1</f>
        <v>291.59000000000003</v>
      </c>
      <c r="H199" s="18">
        <f>547.08</f>
        <v>547.08000000000004</v>
      </c>
      <c r="I199" s="18">
        <v>29.88</v>
      </c>
      <c r="J199" s="18"/>
      <c r="K199" s="18"/>
      <c r="L199" s="19">
        <f>SUM(F199:K199)</f>
        <v>3010.8900000000003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14752.47+520+13795.29+520</f>
        <v>29587.760000000002</v>
      </c>
      <c r="G201" s="18">
        <f>1088.88+31.5+205.96+55.95+1095.15+171.66+52.34</f>
        <v>2701.4400000000005</v>
      </c>
      <c r="H201" s="18">
        <f>290+1042.32+6896.75+20127.25+11955.26+34827.74+16.65+11297.5+22368.5</f>
        <v>108821.97</v>
      </c>
      <c r="I201" s="18">
        <f>82.01+1475+687.62+44</f>
        <v>2288.63</v>
      </c>
      <c r="J201" s="18"/>
      <c r="K201" s="18"/>
      <c r="L201" s="19">
        <f t="shared" ref="L201:L207" si="0">SUM(F201:K201)</f>
        <v>143399.80000000002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2200+979.8+23503.83</f>
        <v>26683.63</v>
      </c>
      <c r="G202" s="18">
        <f>510.67+11634.41</f>
        <v>12145.08</v>
      </c>
      <c r="H202" s="18">
        <f>643.32</f>
        <v>643.32000000000005</v>
      </c>
      <c r="I202" s="18">
        <v>4204.1000000000004</v>
      </c>
      <c r="J202" s="18">
        <v>2989.65</v>
      </c>
      <c r="K202" s="18"/>
      <c r="L202" s="19">
        <f t="shared" si="0"/>
        <v>46665.78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2750*0.576</f>
        <v>1583.9999999999998</v>
      </c>
      <c r="G203" s="18">
        <f>216.17*0.576</f>
        <v>124.51391999999998</v>
      </c>
      <c r="H203" s="18">
        <f>(2459.3+4200+116287)*0.576</f>
        <v>70817.068799999994</v>
      </c>
      <c r="I203" s="18">
        <f>(319.59+38)*0.576</f>
        <v>205.97183999999996</v>
      </c>
      <c r="J203" s="18"/>
      <c r="K203" s="18">
        <f>(2837.42+88.5)*0.576</f>
        <v>1685.3299199999999</v>
      </c>
      <c r="L203" s="19">
        <f t="shared" si="0"/>
        <v>74416.884479999993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88960.72</v>
      </c>
      <c r="G204" s="18">
        <v>36566.379999999997</v>
      </c>
      <c r="H204" s="18">
        <v>5370.97</v>
      </c>
      <c r="I204" s="18">
        <v>2545.2199999999998</v>
      </c>
      <c r="J204" s="18"/>
      <c r="K204" s="18">
        <v>3089</v>
      </c>
      <c r="L204" s="19">
        <f t="shared" si="0"/>
        <v>136532.29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53718.23</v>
      </c>
      <c r="G206" s="18">
        <v>32969.86</v>
      </c>
      <c r="H206" s="18">
        <v>26965.77</v>
      </c>
      <c r="I206" s="18">
        <f>59118.4</f>
        <v>59118.400000000001</v>
      </c>
      <c r="J206" s="18">
        <v>4504.99</v>
      </c>
      <c r="K206" s="18"/>
      <c r="L206" s="19">
        <f t="shared" si="0"/>
        <v>177277.25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((2375.32+125016)*0.576)+3245.28+1487.5</f>
        <v>78110.180319999999</v>
      </c>
      <c r="I207" s="18">
        <f>17597.3*0.576</f>
        <v>10136.0448</v>
      </c>
      <c r="J207" s="18"/>
      <c r="K207" s="18"/>
      <c r="L207" s="19">
        <f t="shared" si="0"/>
        <v>88246.225120000003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586343.42000000004</v>
      </c>
      <c r="G210" s="41">
        <f t="shared" si="1"/>
        <v>255075.76392</v>
      </c>
      <c r="H210" s="41">
        <f t="shared" si="1"/>
        <v>293655.08911999996</v>
      </c>
      <c r="I210" s="41">
        <f t="shared" si="1"/>
        <v>91629.076640000014</v>
      </c>
      <c r="J210" s="41">
        <f t="shared" si="1"/>
        <v>10758.26</v>
      </c>
      <c r="K210" s="41">
        <f t="shared" si="1"/>
        <v>5034.3299200000001</v>
      </c>
      <c r="L210" s="41">
        <f t="shared" si="1"/>
        <v>1242495.9396000002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300642.90000000002</v>
      </c>
      <c r="I214" s="18"/>
      <c r="J214" s="18"/>
      <c r="K214" s="18"/>
      <c r="L214" s="19">
        <f>SUM(F214:K214)</f>
        <v>300642.90000000002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71183.52+31.32</f>
        <v>71214.840000000011</v>
      </c>
      <c r="I215" s="18">
        <v>31.76</v>
      </c>
      <c r="J215" s="18">
        <v>399</v>
      </c>
      <c r="K215" s="18"/>
      <c r="L215" s="19">
        <f>SUM(F215:K215)</f>
        <v>71645.600000000006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>
        <f>3096.5+180</f>
        <v>3276.5</v>
      </c>
      <c r="I219" s="18"/>
      <c r="J219" s="18"/>
      <c r="K219" s="18"/>
      <c r="L219" s="19">
        <f t="shared" ref="L219:L225" si="2">SUM(F219:K219)</f>
        <v>3276.5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>
        <v>1800</v>
      </c>
      <c r="I220" s="18"/>
      <c r="J220" s="18"/>
      <c r="K220" s="18"/>
      <c r="L220" s="19">
        <f t="shared" si="2"/>
        <v>1800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f>2750*0.12</f>
        <v>330</v>
      </c>
      <c r="G221" s="18">
        <f>216.17*0.12</f>
        <v>25.940399999999997</v>
      </c>
      <c r="H221" s="18">
        <f>(2459.3+4200+116287)*0.12</f>
        <v>14753.556</v>
      </c>
      <c r="I221" s="18">
        <f>(319.59+38)*0.12</f>
        <v>42.910799999999995</v>
      </c>
      <c r="J221" s="18"/>
      <c r="K221" s="18">
        <f>(2837.42+88.5)*0.12</f>
        <v>351.11039999999997</v>
      </c>
      <c r="L221" s="19">
        <f t="shared" si="2"/>
        <v>15503.517599999999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((2375.32+125016)*0.12)+9423.75</f>
        <v>24710.7084</v>
      </c>
      <c r="I225" s="18">
        <f>17597.3*0.12</f>
        <v>2111.6759999999999</v>
      </c>
      <c r="J225" s="18"/>
      <c r="K225" s="18"/>
      <c r="L225" s="19">
        <f t="shared" si="2"/>
        <v>26822.384399999999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330</v>
      </c>
      <c r="G228" s="41">
        <f>SUM(G214:G227)</f>
        <v>25.940399999999997</v>
      </c>
      <c r="H228" s="41">
        <f>SUM(H214:H227)</f>
        <v>416398.50440000003</v>
      </c>
      <c r="I228" s="41">
        <f>SUM(I214:I227)</f>
        <v>2186.3467999999998</v>
      </c>
      <c r="J228" s="41">
        <f>SUM(J214:J227)</f>
        <v>399</v>
      </c>
      <c r="K228" s="41">
        <f t="shared" si="3"/>
        <v>351.11039999999997</v>
      </c>
      <c r="L228" s="41">
        <f t="shared" si="3"/>
        <v>419690.902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667312.28</v>
      </c>
      <c r="I232" s="18"/>
      <c r="J232" s="18"/>
      <c r="K232" s="18"/>
      <c r="L232" s="19">
        <f>SUM(F232:K232)</f>
        <v>667312.28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40160+130</f>
        <v>40290</v>
      </c>
      <c r="G233" s="18">
        <f>13348.25+557.94+390.36+2606.48+4538.07+190.5+125.69</f>
        <v>21757.29</v>
      </c>
      <c r="H233" s="18">
        <f>85462.91+107.45+33835.8+127.65</f>
        <v>119533.81</v>
      </c>
      <c r="I233" s="18">
        <f>44.17+30</f>
        <v>74.17</v>
      </c>
      <c r="J233" s="18">
        <v>69.95</v>
      </c>
      <c r="K233" s="18">
        <v>72</v>
      </c>
      <c r="L233" s="19">
        <f>SUM(F233:K233)</f>
        <v>181797.22000000003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1488</f>
        <v>1488</v>
      </c>
      <c r="G235" s="18">
        <f>107.76+168.13+14.01</f>
        <v>289.89999999999998</v>
      </c>
      <c r="H235" s="18">
        <f>8120.56</f>
        <v>8120.56</v>
      </c>
      <c r="I235" s="18"/>
      <c r="J235" s="18"/>
      <c r="K235" s="18"/>
      <c r="L235" s="19">
        <f>SUM(F235:K235)</f>
        <v>9898.4600000000009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f>13230.5+173.17</f>
        <v>13403.67</v>
      </c>
      <c r="I237" s="18"/>
      <c r="J237" s="18"/>
      <c r="K237" s="18"/>
      <c r="L237" s="19">
        <f t="shared" ref="L237:L243" si="4">SUM(F237:K237)</f>
        <v>13403.67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2750*0.304</f>
        <v>836</v>
      </c>
      <c r="G239" s="18">
        <f>216.17*0.304</f>
        <v>65.715679999999992</v>
      </c>
      <c r="H239" s="18">
        <f>(2459.3+4200+116287)*0.304</f>
        <v>37375.675199999998</v>
      </c>
      <c r="I239" s="18">
        <f>(319.59+38)*0.304</f>
        <v>108.70735999999999</v>
      </c>
      <c r="J239" s="18"/>
      <c r="K239" s="18">
        <f>(2837.42+88.5)*0.304</f>
        <v>889.47968000000003</v>
      </c>
      <c r="L239" s="19">
        <f t="shared" si="4"/>
        <v>39275.577919999996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((2375.32+125016)*0.304)+9479.35</f>
        <v>48206.311280000002</v>
      </c>
      <c r="I243" s="18">
        <f>17597.3*0.304</f>
        <v>5349.5791999999992</v>
      </c>
      <c r="J243" s="18"/>
      <c r="K243" s="18"/>
      <c r="L243" s="19">
        <f t="shared" si="4"/>
        <v>53555.890480000002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42614</v>
      </c>
      <c r="G246" s="41">
        <f t="shared" si="5"/>
        <v>22112.905680000003</v>
      </c>
      <c r="H246" s="41">
        <f t="shared" si="5"/>
        <v>893952.30648000026</v>
      </c>
      <c r="I246" s="41">
        <f t="shared" si="5"/>
        <v>5532.4565599999996</v>
      </c>
      <c r="J246" s="41">
        <f t="shared" si="5"/>
        <v>69.95</v>
      </c>
      <c r="K246" s="41">
        <f t="shared" si="5"/>
        <v>961.47968000000003</v>
      </c>
      <c r="L246" s="41">
        <f t="shared" si="5"/>
        <v>965243.09840000002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>
        <v>2500</v>
      </c>
      <c r="G252" s="18">
        <v>235.05</v>
      </c>
      <c r="H252" s="18">
        <v>1895</v>
      </c>
      <c r="I252" s="18">
        <v>337.4</v>
      </c>
      <c r="J252" s="18"/>
      <c r="K252" s="18">
        <v>470</v>
      </c>
      <c r="L252" s="19">
        <f t="shared" si="6"/>
        <v>5437.45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2500</v>
      </c>
      <c r="G255" s="41">
        <f t="shared" si="7"/>
        <v>235.05</v>
      </c>
      <c r="H255" s="41">
        <f t="shared" si="7"/>
        <v>1895</v>
      </c>
      <c r="I255" s="41">
        <f t="shared" si="7"/>
        <v>337.4</v>
      </c>
      <c r="J255" s="41">
        <f t="shared" si="7"/>
        <v>0</v>
      </c>
      <c r="K255" s="41">
        <f t="shared" si="7"/>
        <v>470</v>
      </c>
      <c r="L255" s="41">
        <f>SUM(F255:K255)</f>
        <v>5437.45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631787.42000000004</v>
      </c>
      <c r="G256" s="41">
        <f t="shared" si="8"/>
        <v>277449.65999999997</v>
      </c>
      <c r="H256" s="41">
        <f t="shared" si="8"/>
        <v>1605900.9000000004</v>
      </c>
      <c r="I256" s="41">
        <f t="shared" si="8"/>
        <v>99685.280000000013</v>
      </c>
      <c r="J256" s="41">
        <f t="shared" si="8"/>
        <v>11227.210000000001</v>
      </c>
      <c r="K256" s="41">
        <f t="shared" si="8"/>
        <v>6816.92</v>
      </c>
      <c r="L256" s="41">
        <f t="shared" si="8"/>
        <v>2632867.3900000006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175000</v>
      </c>
      <c r="L259" s="19">
        <f>SUM(F259:K259)</f>
        <v>175000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49120</v>
      </c>
      <c r="L260" s="19">
        <f>SUM(F260:K260)</f>
        <v>49120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5000</v>
      </c>
      <c r="L265" s="19">
        <f t="shared" si="9"/>
        <v>5000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>
        <v>5450</v>
      </c>
      <c r="L267" s="19">
        <f t="shared" si="9"/>
        <v>5450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234570</v>
      </c>
      <c r="L269" s="41">
        <f t="shared" si="9"/>
        <v>234570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631787.42000000004</v>
      </c>
      <c r="G270" s="42">
        <f t="shared" si="11"/>
        <v>277449.65999999997</v>
      </c>
      <c r="H270" s="42">
        <f t="shared" si="11"/>
        <v>1605900.9000000004</v>
      </c>
      <c r="I270" s="42">
        <f t="shared" si="11"/>
        <v>99685.280000000013</v>
      </c>
      <c r="J270" s="42">
        <f t="shared" si="11"/>
        <v>11227.210000000001</v>
      </c>
      <c r="K270" s="42">
        <f t="shared" si="11"/>
        <v>241386.92</v>
      </c>
      <c r="L270" s="42">
        <f t="shared" si="11"/>
        <v>2867437.3900000006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/>
      <c r="G275" s="18"/>
      <c r="H275" s="18"/>
      <c r="I275" s="18"/>
      <c r="J275" s="18"/>
      <c r="K275" s="18"/>
      <c r="L275" s="19">
        <f>SUM(F275:K275)</f>
        <v>0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0</v>
      </c>
      <c r="G289" s="42">
        <f t="shared" si="13"/>
        <v>0</v>
      </c>
      <c r="H289" s="42">
        <f t="shared" si="13"/>
        <v>0</v>
      </c>
      <c r="I289" s="42">
        <f t="shared" si="13"/>
        <v>0</v>
      </c>
      <c r="J289" s="42">
        <f t="shared" si="13"/>
        <v>0</v>
      </c>
      <c r="K289" s="42">
        <f t="shared" si="13"/>
        <v>0</v>
      </c>
      <c r="L289" s="41">
        <f t="shared" si="13"/>
        <v>0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47418.239999999998</v>
      </c>
      <c r="G294" s="18">
        <v>6433.11</v>
      </c>
      <c r="H294" s="18"/>
      <c r="I294" s="18">
        <v>1090.6600000000001</v>
      </c>
      <c r="J294" s="18">
        <v>7871.92</v>
      </c>
      <c r="K294" s="18">
        <v>1288.05</v>
      </c>
      <c r="L294" s="19">
        <f>SUM(F294:K294)</f>
        <v>64101.98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33832.879999999997</v>
      </c>
      <c r="G295" s="18"/>
      <c r="H295" s="18"/>
      <c r="I295" s="18"/>
      <c r="J295" s="18"/>
      <c r="K295" s="18"/>
      <c r="L295" s="19">
        <f>SUM(F295:K295)</f>
        <v>33832.879999999997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>
        <v>513.03</v>
      </c>
      <c r="I299" s="18">
        <v>68.8</v>
      </c>
      <c r="J299" s="18"/>
      <c r="K299" s="18">
        <v>14.87</v>
      </c>
      <c r="L299" s="19">
        <f t="shared" ref="L299:L305" si="14">SUM(F299:K299)</f>
        <v>596.69999999999993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>
        <v>170</v>
      </c>
      <c r="I300" s="18"/>
      <c r="J300" s="18">
        <v>1047.8399999999999</v>
      </c>
      <c r="K300" s="18"/>
      <c r="L300" s="19">
        <f t="shared" si="14"/>
        <v>1217.8399999999999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>
        <v>264.5</v>
      </c>
      <c r="J302" s="18"/>
      <c r="K302" s="18"/>
      <c r="L302" s="19">
        <f t="shared" si="14"/>
        <v>264.5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81251.12</v>
      </c>
      <c r="G308" s="42">
        <f t="shared" si="15"/>
        <v>6433.11</v>
      </c>
      <c r="H308" s="42">
        <f t="shared" si="15"/>
        <v>683.03</v>
      </c>
      <c r="I308" s="42">
        <f t="shared" si="15"/>
        <v>1423.96</v>
      </c>
      <c r="J308" s="42">
        <f t="shared" si="15"/>
        <v>8919.76</v>
      </c>
      <c r="K308" s="42">
        <f t="shared" si="15"/>
        <v>1302.9199999999998</v>
      </c>
      <c r="L308" s="41">
        <f t="shared" si="15"/>
        <v>100013.9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81251.12</v>
      </c>
      <c r="G337" s="41">
        <f t="shared" si="20"/>
        <v>6433.11</v>
      </c>
      <c r="H337" s="41">
        <f t="shared" si="20"/>
        <v>683.03</v>
      </c>
      <c r="I337" s="41">
        <f t="shared" si="20"/>
        <v>1423.96</v>
      </c>
      <c r="J337" s="41">
        <f t="shared" si="20"/>
        <v>8919.76</v>
      </c>
      <c r="K337" s="41">
        <f t="shared" si="20"/>
        <v>1302.9199999999998</v>
      </c>
      <c r="L337" s="41">
        <f t="shared" si="20"/>
        <v>100013.9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61324.69</v>
      </c>
      <c r="L349" s="19">
        <f t="shared" si="21"/>
        <v>61324.69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61324.69</v>
      </c>
      <c r="L350" s="41">
        <f>SUM(L340:L349)</f>
        <v>61324.69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81251.12</v>
      </c>
      <c r="G351" s="41">
        <f>G337</f>
        <v>6433.11</v>
      </c>
      <c r="H351" s="41">
        <f>H337</f>
        <v>683.03</v>
      </c>
      <c r="I351" s="41">
        <f>I337</f>
        <v>1423.96</v>
      </c>
      <c r="J351" s="41">
        <f>J337</f>
        <v>8919.76</v>
      </c>
      <c r="K351" s="47">
        <f>K337+K350</f>
        <v>62627.61</v>
      </c>
      <c r="L351" s="41">
        <f>L337+L350</f>
        <v>161338.59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38082</v>
      </c>
      <c r="I357" s="18">
        <v>4307.9799999999996</v>
      </c>
      <c r="J357" s="18"/>
      <c r="K357" s="18"/>
      <c r="L357" s="13">
        <f>SUM(F357:K357)</f>
        <v>42389.979999999996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38082</v>
      </c>
      <c r="I361" s="47">
        <f t="shared" si="22"/>
        <v>4307.9799999999996</v>
      </c>
      <c r="J361" s="47">
        <f t="shared" si="22"/>
        <v>0</v>
      </c>
      <c r="K361" s="47">
        <f t="shared" si="22"/>
        <v>0</v>
      </c>
      <c r="L361" s="47">
        <f t="shared" si="22"/>
        <v>42389.979999999996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4307.9799999999996</v>
      </c>
      <c r="G366" s="18"/>
      <c r="H366" s="18"/>
      <c r="I366" s="56">
        <f>SUM(F366:H366)</f>
        <v>4307.9799999999996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/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4307.9799999999996</v>
      </c>
      <c r="G368" s="47">
        <f>SUM(G366:G367)</f>
        <v>0</v>
      </c>
      <c r="H368" s="47">
        <f>SUM(H366:H367)</f>
        <v>0</v>
      </c>
      <c r="I368" s="47">
        <f>SUM(I366:I367)</f>
        <v>4307.9799999999996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>
        <v>30.87</v>
      </c>
      <c r="I388" s="18"/>
      <c r="J388" s="24" t="s">
        <v>289</v>
      </c>
      <c r="K388" s="24" t="s">
        <v>289</v>
      </c>
      <c r="L388" s="56">
        <f t="shared" si="25"/>
        <v>30.87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62.09</v>
      </c>
      <c r="I391" s="18"/>
      <c r="J391" s="24" t="s">
        <v>289</v>
      </c>
      <c r="K391" s="24" t="s">
        <v>289</v>
      </c>
      <c r="L391" s="56">
        <f t="shared" si="25"/>
        <v>62.09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92.960000000000008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92.960000000000008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>
        <v>113.86</v>
      </c>
      <c r="I397" s="18"/>
      <c r="J397" s="24" t="s">
        <v>289</v>
      </c>
      <c r="K397" s="24" t="s">
        <v>289</v>
      </c>
      <c r="L397" s="56">
        <f t="shared" si="26"/>
        <v>113.86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>
        <v>5000</v>
      </c>
      <c r="H398" s="18">
        <v>9.18</v>
      </c>
      <c r="I398" s="18"/>
      <c r="J398" s="24" t="s">
        <v>289</v>
      </c>
      <c r="K398" s="24" t="s">
        <v>289</v>
      </c>
      <c r="L398" s="56">
        <f t="shared" si="26"/>
        <v>5009.18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>
        <v>7.25</v>
      </c>
      <c r="I399" s="18"/>
      <c r="J399" s="24" t="s">
        <v>289</v>
      </c>
      <c r="K399" s="24" t="s">
        <v>289</v>
      </c>
      <c r="L399" s="56">
        <f t="shared" si="26"/>
        <v>7.25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5000</v>
      </c>
      <c r="H400" s="47">
        <f>SUM(H394:H399)</f>
        <v>130.29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5130.29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5000</v>
      </c>
      <c r="H407" s="47">
        <f>H392+H400+H406</f>
        <v>223.25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5223.25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272">
        <v>85553.64</v>
      </c>
      <c r="I414" s="18"/>
      <c r="J414" s="18"/>
      <c r="K414" s="18"/>
      <c r="L414" s="56">
        <f t="shared" si="27"/>
        <v>85553.64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272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272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272">
        <v>15883.32</v>
      </c>
      <c r="I417" s="18"/>
      <c r="J417" s="18"/>
      <c r="K417" s="18"/>
      <c r="L417" s="56">
        <f t="shared" si="27"/>
        <v>15883.32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101436.95999999999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101436.95999999999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272">
        <v>8587.18</v>
      </c>
      <c r="I424" s="18"/>
      <c r="J424" s="18"/>
      <c r="K424" s="18"/>
      <c r="L424" s="56">
        <f t="shared" si="29"/>
        <v>8587.18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8587.18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8587.18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110024.13999999998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110024.13999999998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52130.31</v>
      </c>
      <c r="G439" s="18">
        <v>173197.69</v>
      </c>
      <c r="H439" s="18"/>
      <c r="I439" s="56">
        <f t="shared" si="33"/>
        <v>225328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52130.31</v>
      </c>
      <c r="G445" s="13">
        <f>SUM(G438:G444)</f>
        <v>173197.69</v>
      </c>
      <c r="H445" s="13">
        <f>SUM(H438:H444)</f>
        <v>0</v>
      </c>
      <c r="I445" s="13">
        <f>SUM(I438:I444)</f>
        <v>225328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52130.31</v>
      </c>
      <c r="G458" s="18">
        <v>173197.69</v>
      </c>
      <c r="H458" s="18"/>
      <c r="I458" s="56">
        <f t="shared" si="34"/>
        <v>225328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52130.31</v>
      </c>
      <c r="G459" s="83">
        <f>SUM(G453:G458)</f>
        <v>173197.69</v>
      </c>
      <c r="H459" s="83">
        <f>SUM(H453:H458)</f>
        <v>0</v>
      </c>
      <c r="I459" s="83">
        <f>SUM(I453:I458)</f>
        <v>225328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52130.31</v>
      </c>
      <c r="G460" s="42">
        <f>G451+G459</f>
        <v>173197.69</v>
      </c>
      <c r="H460" s="42">
        <f>H451+H459</f>
        <v>0</v>
      </c>
      <c r="I460" s="42">
        <f>I451+I459</f>
        <v>225328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180031.93</v>
      </c>
      <c r="G464" s="18">
        <v>350.4</v>
      </c>
      <c r="H464" s="18">
        <v>0</v>
      </c>
      <c r="I464" s="18"/>
      <c r="J464" s="18">
        <v>330128.89</v>
      </c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2773902.86</v>
      </c>
      <c r="G467" s="18">
        <v>44129.41</v>
      </c>
      <c r="H467" s="18">
        <v>161338.59</v>
      </c>
      <c r="I467" s="18"/>
      <c r="J467" s="18">
        <v>5223.25</v>
      </c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2773902.86</v>
      </c>
      <c r="G469" s="53">
        <f>SUM(G467:G468)</f>
        <v>44129.41</v>
      </c>
      <c r="H469" s="53">
        <f>SUM(H467:H468)</f>
        <v>161338.59</v>
      </c>
      <c r="I469" s="53">
        <f>SUM(I467:I468)</f>
        <v>0</v>
      </c>
      <c r="J469" s="53">
        <f>SUM(J467:J468)</f>
        <v>5223.25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2867437.39</v>
      </c>
      <c r="G471" s="18">
        <v>42389.98</v>
      </c>
      <c r="H471" s="18">
        <v>161338.59</v>
      </c>
      <c r="I471" s="18"/>
      <c r="J471" s="18">
        <v>110024.14</v>
      </c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2867437.39</v>
      </c>
      <c r="G473" s="53">
        <f>SUM(G471:G472)</f>
        <v>42389.98</v>
      </c>
      <c r="H473" s="53">
        <f>SUM(H471:H472)</f>
        <v>161338.59</v>
      </c>
      <c r="I473" s="53">
        <f>SUM(I471:I472)</f>
        <v>0</v>
      </c>
      <c r="J473" s="53">
        <f>SUM(J471:J472)</f>
        <v>110024.14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86497.399999999907</v>
      </c>
      <c r="G475" s="53">
        <f>(G464+G469)- G473</f>
        <v>2089.8300000000017</v>
      </c>
      <c r="H475" s="53">
        <f>(H464+H469)- H473</f>
        <v>0</v>
      </c>
      <c r="I475" s="53">
        <f>(I464+I469)- I473</f>
        <v>0</v>
      </c>
      <c r="J475" s="53">
        <f>(J464+J469)- J473</f>
        <v>225328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15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271" t="s">
        <v>910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911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2600000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4.38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1200000</v>
      </c>
      <c r="G494" s="18"/>
      <c r="H494" s="18"/>
      <c r="I494" s="18"/>
      <c r="J494" s="18"/>
      <c r="K494" s="53">
        <f>SUM(F494:J494)</f>
        <v>1200000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175000</v>
      </c>
      <c r="G496" s="18"/>
      <c r="H496" s="18"/>
      <c r="I496" s="18"/>
      <c r="J496" s="18"/>
      <c r="K496" s="53">
        <f t="shared" si="35"/>
        <v>175000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1025000</v>
      </c>
      <c r="G497" s="205"/>
      <c r="H497" s="205"/>
      <c r="I497" s="205"/>
      <c r="J497" s="205"/>
      <c r="K497" s="206">
        <f t="shared" si="35"/>
        <v>1025000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f>184805-49120</f>
        <v>135685</v>
      </c>
      <c r="G498" s="18"/>
      <c r="H498" s="18"/>
      <c r="I498" s="18"/>
      <c r="J498" s="18"/>
      <c r="K498" s="53">
        <f t="shared" si="35"/>
        <v>135685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1160685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1160685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175000</v>
      </c>
      <c r="G500" s="205"/>
      <c r="H500" s="205"/>
      <c r="I500" s="205"/>
      <c r="J500" s="205"/>
      <c r="K500" s="206">
        <f t="shared" si="35"/>
        <v>175000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41420</v>
      </c>
      <c r="G501" s="18"/>
      <c r="H501" s="18"/>
      <c r="I501" s="18"/>
      <c r="J501" s="18"/>
      <c r="K501" s="53">
        <f t="shared" si="35"/>
        <v>41420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216420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216420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15713</v>
      </c>
      <c r="G506" s="144"/>
      <c r="H506" s="144">
        <v>1695</v>
      </c>
      <c r="I506" s="144">
        <f>F506+G506-H506</f>
        <v>14018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272">
        <v>33000</v>
      </c>
      <c r="G510" s="24" t="s">
        <v>289</v>
      </c>
      <c r="H510" s="18">
        <v>33000</v>
      </c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272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272">
        <v>3090560</v>
      </c>
      <c r="G512" s="24" t="s">
        <v>289</v>
      </c>
      <c r="H512" s="18">
        <v>3116202</v>
      </c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272">
        <v>44725</v>
      </c>
      <c r="G513" s="24" t="s">
        <v>289</v>
      </c>
      <c r="H513" s="18">
        <v>38685</v>
      </c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3168285</v>
      </c>
      <c r="G516" s="42">
        <f>SUM(G510:G515)</f>
        <v>0</v>
      </c>
      <c r="H516" s="42">
        <f>SUM(H510:H515)</f>
        <v>3187887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69313.03+33832.88</f>
        <v>103145.91</v>
      </c>
      <c r="G520" s="18">
        <v>28255.71</v>
      </c>
      <c r="H520" s="18">
        <v>657.91</v>
      </c>
      <c r="I520" s="18">
        <v>496.49</v>
      </c>
      <c r="J520" s="18"/>
      <c r="K520" s="18"/>
      <c r="L520" s="88">
        <f>SUM(F520:K520)</f>
        <v>132556.01999999999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f>71183.52+31.32</f>
        <v>71214.840000000011</v>
      </c>
      <c r="I521" s="18">
        <v>31.76</v>
      </c>
      <c r="J521" s="18">
        <v>399</v>
      </c>
      <c r="K521" s="18"/>
      <c r="L521" s="88">
        <f>SUM(F521:K521)</f>
        <v>71645.600000000006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41778</v>
      </c>
      <c r="G522" s="18">
        <v>22047.19</v>
      </c>
      <c r="H522" s="18">
        <v>127654.37</v>
      </c>
      <c r="I522" s="18">
        <v>74.17</v>
      </c>
      <c r="J522" s="18">
        <v>69.95</v>
      </c>
      <c r="K522" s="18">
        <v>72</v>
      </c>
      <c r="L522" s="88">
        <f>SUM(F522:K522)</f>
        <v>191695.68000000002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144923.91</v>
      </c>
      <c r="G523" s="108">
        <f t="shared" ref="G523:L523" si="36">SUM(G520:G522)</f>
        <v>50302.899999999994</v>
      </c>
      <c r="H523" s="108">
        <f t="shared" si="36"/>
        <v>199527.12</v>
      </c>
      <c r="I523" s="108">
        <f t="shared" si="36"/>
        <v>602.41999999999996</v>
      </c>
      <c r="J523" s="108">
        <f t="shared" si="36"/>
        <v>468.95</v>
      </c>
      <c r="K523" s="108">
        <f t="shared" si="36"/>
        <v>72</v>
      </c>
      <c r="L523" s="89">
        <f t="shared" si="36"/>
        <v>395897.30000000005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107489.65+513.03</f>
        <v>108002.68</v>
      </c>
      <c r="I525" s="18">
        <v>68.8</v>
      </c>
      <c r="J525" s="18"/>
      <c r="K525" s="18"/>
      <c r="L525" s="88">
        <f>SUM(F525:K525)</f>
        <v>108071.48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>
        <f>3096.5+180+1800</f>
        <v>5076.5</v>
      </c>
      <c r="I526" s="18"/>
      <c r="J526" s="18"/>
      <c r="K526" s="18"/>
      <c r="L526" s="88">
        <f>SUM(F526:K526)</f>
        <v>5076.5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13403.67</v>
      </c>
      <c r="I527" s="18"/>
      <c r="J527" s="18"/>
      <c r="K527" s="18"/>
      <c r="L527" s="88">
        <f>SUM(F527:K527)</f>
        <v>13403.67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126482.84999999999</v>
      </c>
      <c r="I528" s="89">
        <f t="shared" si="37"/>
        <v>68.8</v>
      </c>
      <c r="J528" s="89">
        <f t="shared" si="37"/>
        <v>0</v>
      </c>
      <c r="K528" s="89">
        <f t="shared" si="37"/>
        <v>0</v>
      </c>
      <c r="L528" s="89">
        <f t="shared" si="37"/>
        <v>126551.65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9300.18</v>
      </c>
      <c r="I530" s="18"/>
      <c r="J530" s="18"/>
      <c r="K530" s="18"/>
      <c r="L530" s="88">
        <f>SUM(F530:K530)</f>
        <v>9300.18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>
        <v>4435.7</v>
      </c>
      <c r="I531" s="18"/>
      <c r="J531" s="18"/>
      <c r="K531" s="18"/>
      <c r="L531" s="88">
        <f>SUM(F531:K531)</f>
        <v>4435.7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>
        <v>10349.959999999999</v>
      </c>
      <c r="I532" s="18"/>
      <c r="J532" s="18"/>
      <c r="K532" s="18"/>
      <c r="L532" s="88">
        <f>SUM(F532:K532)</f>
        <v>10349.959999999999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24085.84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24085.84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3245.28</v>
      </c>
      <c r="I540" s="18"/>
      <c r="J540" s="18"/>
      <c r="K540" s="18"/>
      <c r="L540" s="88">
        <f>SUM(F540:K540)</f>
        <v>3245.28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9423.75</v>
      </c>
      <c r="I541" s="18"/>
      <c r="J541" s="18"/>
      <c r="K541" s="18"/>
      <c r="L541" s="88">
        <f>SUM(F541:K541)</f>
        <v>9423.75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9479.35</v>
      </c>
      <c r="I542" s="18"/>
      <c r="J542" s="18"/>
      <c r="K542" s="18"/>
      <c r="L542" s="88">
        <f>SUM(F542:K542)</f>
        <v>9479.35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22148.38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22148.38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144923.91</v>
      </c>
      <c r="G544" s="89">
        <f t="shared" ref="G544:L544" si="41">G523+G528+G533+G538+G543</f>
        <v>50302.899999999994</v>
      </c>
      <c r="H544" s="89">
        <f t="shared" si="41"/>
        <v>372244.19</v>
      </c>
      <c r="I544" s="89">
        <f t="shared" si="41"/>
        <v>671.21999999999991</v>
      </c>
      <c r="J544" s="89">
        <f t="shared" si="41"/>
        <v>468.95</v>
      </c>
      <c r="K544" s="89">
        <f t="shared" si="41"/>
        <v>72</v>
      </c>
      <c r="L544" s="89">
        <f t="shared" si="41"/>
        <v>568683.17000000004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132556.01999999999</v>
      </c>
      <c r="G548" s="87">
        <f>L525</f>
        <v>108071.48</v>
      </c>
      <c r="H548" s="87">
        <f>L530</f>
        <v>9300.18</v>
      </c>
      <c r="I548" s="87">
        <f>L535</f>
        <v>0</v>
      </c>
      <c r="J548" s="87">
        <f>L540</f>
        <v>3245.28</v>
      </c>
      <c r="K548" s="87">
        <f>SUM(F548:J548)</f>
        <v>253172.96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71645.600000000006</v>
      </c>
      <c r="G549" s="87">
        <f>L526</f>
        <v>5076.5</v>
      </c>
      <c r="H549" s="87">
        <f>L531</f>
        <v>4435.7</v>
      </c>
      <c r="I549" s="87">
        <f>L536</f>
        <v>0</v>
      </c>
      <c r="J549" s="87">
        <f>L541</f>
        <v>9423.75</v>
      </c>
      <c r="K549" s="87">
        <f>SUM(F549:J549)</f>
        <v>90581.55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191695.68000000002</v>
      </c>
      <c r="G550" s="87">
        <f>L527</f>
        <v>13403.67</v>
      </c>
      <c r="H550" s="87">
        <f>L532</f>
        <v>10349.959999999999</v>
      </c>
      <c r="I550" s="87">
        <f>L537</f>
        <v>0</v>
      </c>
      <c r="J550" s="87">
        <f>L542</f>
        <v>9479.35</v>
      </c>
      <c r="K550" s="87">
        <f>SUM(F550:J550)</f>
        <v>224928.66000000003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395897.30000000005</v>
      </c>
      <c r="G551" s="89">
        <f t="shared" si="42"/>
        <v>126551.65</v>
      </c>
      <c r="H551" s="89">
        <f t="shared" si="42"/>
        <v>24085.84</v>
      </c>
      <c r="I551" s="89">
        <f t="shared" si="42"/>
        <v>0</v>
      </c>
      <c r="J551" s="89">
        <f t="shared" si="42"/>
        <v>22148.38</v>
      </c>
      <c r="K551" s="89">
        <f t="shared" si="42"/>
        <v>568683.17000000004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>
        <v>0</v>
      </c>
      <c r="G574" s="18">
        <v>300642.90000000002</v>
      </c>
      <c r="H574" s="18">
        <v>667312.28</v>
      </c>
      <c r="I574" s="87">
        <f>SUM(F574:H574)</f>
        <v>967955.18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>
        <v>33835.800000000003</v>
      </c>
      <c r="I581" s="87">
        <f t="shared" si="47"/>
        <v>33835.800000000003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144988.62*0.576</f>
        <v>83513.445119999989</v>
      </c>
      <c r="I590" s="18">
        <f>144988.62*0.12</f>
        <v>17398.634399999999</v>
      </c>
      <c r="J590" s="18">
        <f>144988.62*0.304</f>
        <v>44076.540479999996</v>
      </c>
      <c r="K590" s="104">
        <f t="shared" ref="K590:K596" si="48">SUM(H590:J590)</f>
        <v>144988.62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3245.28</v>
      </c>
      <c r="I591" s="18">
        <v>9423.75</v>
      </c>
      <c r="J591" s="18">
        <v>9479.35</v>
      </c>
      <c r="K591" s="104">
        <f t="shared" si="48"/>
        <v>22148.38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1487.5</v>
      </c>
      <c r="I594" s="18"/>
      <c r="J594" s="18"/>
      <c r="K594" s="104">
        <f t="shared" si="48"/>
        <v>1487.5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88246.225119999988</v>
      </c>
      <c r="I597" s="108">
        <f>SUM(I590:I596)</f>
        <v>26822.384399999999</v>
      </c>
      <c r="J597" s="108">
        <f>SUM(J590:J596)</f>
        <v>53555.890479999995</v>
      </c>
      <c r="K597" s="108">
        <f>SUM(K590:K596)</f>
        <v>168624.5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20146.97-I603-J603</f>
        <v>19678.02</v>
      </c>
      <c r="I603" s="18">
        <v>399</v>
      </c>
      <c r="J603" s="18">
        <v>69.95</v>
      </c>
      <c r="K603" s="104">
        <f>SUM(H603:J603)</f>
        <v>20146.97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19678.02</v>
      </c>
      <c r="I604" s="108">
        <f>SUM(I601:I603)</f>
        <v>399</v>
      </c>
      <c r="J604" s="108">
        <f>SUM(J601:J603)</f>
        <v>69.95</v>
      </c>
      <c r="K604" s="108">
        <f>SUM(K601:K603)</f>
        <v>20146.97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2142.34</v>
      </c>
      <c r="G610" s="18">
        <f>163.91+114.19+6.39+7.1</f>
        <v>291.59000000000003</v>
      </c>
      <c r="H610" s="18">
        <v>547.08000000000004</v>
      </c>
      <c r="I610" s="18">
        <v>29.88</v>
      </c>
      <c r="J610" s="18"/>
      <c r="K610" s="18"/>
      <c r="L610" s="88">
        <f>SUM(F610:K610)</f>
        <v>3010.8900000000003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1488</v>
      </c>
      <c r="G612" s="18">
        <f>107.76+168.13+14.01</f>
        <v>289.89999999999998</v>
      </c>
      <c r="H612" s="18">
        <v>8120.56</v>
      </c>
      <c r="I612" s="18"/>
      <c r="J612" s="18"/>
      <c r="K612" s="18"/>
      <c r="L612" s="88">
        <f>SUM(F612:K612)</f>
        <v>9898.4600000000009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3630.34</v>
      </c>
      <c r="G613" s="108">
        <f t="shared" si="49"/>
        <v>581.49</v>
      </c>
      <c r="H613" s="108">
        <f t="shared" si="49"/>
        <v>8667.6400000000012</v>
      </c>
      <c r="I613" s="108">
        <f t="shared" si="49"/>
        <v>29.88</v>
      </c>
      <c r="J613" s="108">
        <f t="shared" si="49"/>
        <v>0</v>
      </c>
      <c r="K613" s="108">
        <f t="shared" si="49"/>
        <v>0</v>
      </c>
      <c r="L613" s="89">
        <f t="shared" si="49"/>
        <v>12909.350000000002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393501.44</v>
      </c>
      <c r="H616" s="109">
        <f>SUM(F51)</f>
        <v>393501.43999999994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3284.28</v>
      </c>
      <c r="H617" s="109">
        <f>SUM(G51)</f>
        <v>3284.2799999999997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53501.31</v>
      </c>
      <c r="H618" s="109">
        <f>SUM(H51)</f>
        <v>53501.31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225328</v>
      </c>
      <c r="H620" s="109">
        <f>SUM(J51)</f>
        <v>225328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86497.4</v>
      </c>
      <c r="H621" s="109">
        <f>F475</f>
        <v>86497.399999999907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2089.83</v>
      </c>
      <c r="H622" s="109">
        <f>G475</f>
        <v>2089.8300000000017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225328</v>
      </c>
      <c r="H625" s="109">
        <f>J475</f>
        <v>225328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2773902.8600000003</v>
      </c>
      <c r="H626" s="104">
        <f>SUM(F467)</f>
        <v>2773902.86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44129.409999999996</v>
      </c>
      <c r="H627" s="104">
        <f>SUM(G467)</f>
        <v>44129.41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161338.59000000003</v>
      </c>
      <c r="H628" s="104">
        <f>SUM(H467)</f>
        <v>161338.59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5223.25</v>
      </c>
      <c r="H630" s="104">
        <f>SUM(J467)</f>
        <v>5223.25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2867437.3900000006</v>
      </c>
      <c r="H631" s="104">
        <f>SUM(F471)</f>
        <v>2867437.39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161338.59</v>
      </c>
      <c r="H632" s="104">
        <f>SUM(H471)</f>
        <v>161338.59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4307.9799999999996</v>
      </c>
      <c r="H633" s="104">
        <f>I368</f>
        <v>4307.9799999999996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42389.979999999996</v>
      </c>
      <c r="H634" s="104">
        <f>SUM(G471)</f>
        <v>42389.98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5223.25</v>
      </c>
      <c r="H636" s="164">
        <f>SUM(J467)</f>
        <v>5223.25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110024.13999999998</v>
      </c>
      <c r="H637" s="164">
        <f>SUM(J471)</f>
        <v>110024.14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52130.31</v>
      </c>
      <c r="H638" s="104">
        <f>SUM(F460)</f>
        <v>52130.31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173197.69</v>
      </c>
      <c r="H639" s="104">
        <f>SUM(G460)</f>
        <v>173197.69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225328</v>
      </c>
      <c r="H641" s="104">
        <f>SUM(I460)</f>
        <v>225328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223.25</v>
      </c>
      <c r="H643" s="104">
        <f>H407</f>
        <v>223.25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5000</v>
      </c>
      <c r="H644" s="104">
        <f>G407</f>
        <v>5000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5223.25</v>
      </c>
      <c r="H645" s="104">
        <f>L407</f>
        <v>5223.25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168624.5</v>
      </c>
      <c r="H646" s="104">
        <f>L207+L225+L243</f>
        <v>168624.5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20146.97</v>
      </c>
      <c r="H647" s="104">
        <f>(J256+J337)-(J254+J335)</f>
        <v>20146.97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88246.225120000003</v>
      </c>
      <c r="H648" s="104">
        <f>H597</f>
        <v>88246.225119999988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26822.384399999999</v>
      </c>
      <c r="H649" s="104">
        <f>I597</f>
        <v>26822.384399999999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53555.890480000002</v>
      </c>
      <c r="H650" s="104">
        <f>J597</f>
        <v>53555.890479999995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5000</v>
      </c>
      <c r="H654" s="104">
        <f>K265+K346</f>
        <v>5000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1284885.9196000001</v>
      </c>
      <c r="G659" s="19">
        <f>(L228+L308+L358)</f>
        <v>519704.80200000003</v>
      </c>
      <c r="H659" s="19">
        <f>(L246+L327+L359)</f>
        <v>965243.09840000002</v>
      </c>
      <c r="I659" s="19">
        <f>SUM(F659:H659)</f>
        <v>2769833.8200000003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26625.46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26625.46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88246.225120000003</v>
      </c>
      <c r="G661" s="19">
        <f>(L225+L305)-(J225+J305)</f>
        <v>26822.384399999999</v>
      </c>
      <c r="H661" s="19">
        <f>(L243+L324)-(J243+J324)</f>
        <v>53555.890480000002</v>
      </c>
      <c r="I661" s="19">
        <f>SUM(F661:H661)</f>
        <v>168624.5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22688.91</v>
      </c>
      <c r="G662" s="200">
        <f>SUM(G574:G586)+SUM(I601:I603)+L611</f>
        <v>301041.90000000002</v>
      </c>
      <c r="H662" s="200">
        <f>SUM(H574:H586)+SUM(J601:J603)+L612</f>
        <v>711116.49</v>
      </c>
      <c r="I662" s="19">
        <f>SUM(F662:H662)</f>
        <v>1034847.3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1147325.3244800002</v>
      </c>
      <c r="G663" s="19">
        <f>G659-SUM(G660:G662)</f>
        <v>191840.51760000002</v>
      </c>
      <c r="H663" s="19">
        <f>H659-SUM(H660:H662)</f>
        <v>200570.71791999997</v>
      </c>
      <c r="I663" s="19">
        <f>I659-SUM(I660:I662)</f>
        <v>1539736.5600000003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103.28</v>
      </c>
      <c r="G664" s="249"/>
      <c r="H664" s="249"/>
      <c r="I664" s="19">
        <f>SUM(F664:H664)</f>
        <v>103.28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11108.88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14908.37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>
        <v>-191840.52</v>
      </c>
      <c r="H668" s="18">
        <v>-200570.72</v>
      </c>
      <c r="I668" s="19">
        <f>SUM(F668:H668)</f>
        <v>-392411.24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11108.88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11108.88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38" sqref="B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Milan School District</v>
      </c>
      <c r="C1" s="239" t="s">
        <v>839</v>
      </c>
    </row>
    <row r="2" spans="1:3" x14ac:dyDescent="0.2">
      <c r="A2" s="234"/>
      <c r="B2" s="233"/>
    </row>
    <row r="3" spans="1:3" x14ac:dyDescent="0.2">
      <c r="A3" s="276" t="s">
        <v>784</v>
      </c>
      <c r="B3" s="276"/>
      <c r="C3" s="276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783</v>
      </c>
      <c r="C6" s="275"/>
    </row>
    <row r="7" spans="1:3" x14ac:dyDescent="0.2">
      <c r="A7" s="240" t="s">
        <v>786</v>
      </c>
      <c r="B7" s="273" t="s">
        <v>782</v>
      </c>
      <c r="C7" s="274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363914.29</v>
      </c>
      <c r="C9" s="230">
        <f>'DOE25'!G196+'DOE25'!G214+'DOE25'!G232+'DOE25'!G275+'DOE25'!G294+'DOE25'!G313</f>
        <v>148745.88999999998</v>
      </c>
    </row>
    <row r="10" spans="1:3" x14ac:dyDescent="0.2">
      <c r="A10" t="s">
        <v>779</v>
      </c>
      <c r="B10" s="241">
        <v>344565.19</v>
      </c>
      <c r="C10" s="241">
        <v>146841.14000000001</v>
      </c>
    </row>
    <row r="11" spans="1:3" x14ac:dyDescent="0.2">
      <c r="A11" t="s">
        <v>780</v>
      </c>
      <c r="B11" s="241">
        <v>17047.04</v>
      </c>
      <c r="C11" s="241">
        <v>1722.36</v>
      </c>
    </row>
    <row r="12" spans="1:3" x14ac:dyDescent="0.2">
      <c r="A12" t="s">
        <v>781</v>
      </c>
      <c r="B12" s="241">
        <v>2302.06</v>
      </c>
      <c r="C12" s="241">
        <v>182.39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363914.29</v>
      </c>
      <c r="C13" s="232">
        <f>SUM(C10:C12)</f>
        <v>148745.89000000001</v>
      </c>
    </row>
    <row r="14" spans="1:3" x14ac:dyDescent="0.2">
      <c r="B14" s="231"/>
      <c r="C14" s="231"/>
    </row>
    <row r="15" spans="1:3" x14ac:dyDescent="0.2">
      <c r="B15" s="275" t="s">
        <v>783</v>
      </c>
      <c r="C15" s="275"/>
    </row>
    <row r="16" spans="1:3" x14ac:dyDescent="0.2">
      <c r="A16" s="240" t="s">
        <v>787</v>
      </c>
      <c r="B16" s="273" t="s">
        <v>707</v>
      </c>
      <c r="C16" s="274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141293.57</v>
      </c>
      <c r="C18" s="230">
        <f>'DOE25'!G197+'DOE25'!G215+'DOE25'!G233+'DOE25'!G276+'DOE25'!G295+'DOE25'!G314</f>
        <v>49721.41</v>
      </c>
    </row>
    <row r="19" spans="1:3" x14ac:dyDescent="0.2">
      <c r="A19" t="s">
        <v>779</v>
      </c>
      <c r="B19" s="241">
        <v>78290</v>
      </c>
      <c r="C19" s="241">
        <v>44442.07</v>
      </c>
    </row>
    <row r="20" spans="1:3" x14ac:dyDescent="0.2">
      <c r="A20" t="s">
        <v>780</v>
      </c>
      <c r="B20" s="241">
        <v>60235.44</v>
      </c>
      <c r="C20" s="241">
        <v>5052</v>
      </c>
    </row>
    <row r="21" spans="1:3" x14ac:dyDescent="0.2">
      <c r="A21" t="s">
        <v>781</v>
      </c>
      <c r="B21" s="241">
        <v>2768.13</v>
      </c>
      <c r="C21" s="241">
        <v>227.34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141293.57</v>
      </c>
      <c r="C22" s="232">
        <f>SUM(C19:C21)</f>
        <v>49721.409999999996</v>
      </c>
    </row>
    <row r="23" spans="1:3" x14ac:dyDescent="0.2">
      <c r="B23" s="231"/>
      <c r="C23" s="231"/>
    </row>
    <row r="24" spans="1:3" x14ac:dyDescent="0.2">
      <c r="B24" s="275" t="s">
        <v>783</v>
      </c>
      <c r="C24" s="275"/>
    </row>
    <row r="25" spans="1:3" x14ac:dyDescent="0.2">
      <c r="A25" s="240" t="s">
        <v>788</v>
      </c>
      <c r="B25" s="273" t="s">
        <v>708</v>
      </c>
      <c r="C25" s="274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783</v>
      </c>
      <c r="C33" s="275"/>
    </row>
    <row r="34" spans="1:3" x14ac:dyDescent="0.2">
      <c r="A34" s="240" t="s">
        <v>789</v>
      </c>
      <c r="B34" s="273" t="s">
        <v>709</v>
      </c>
      <c r="C34" s="274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3630.34</v>
      </c>
      <c r="C36" s="236">
        <f>'DOE25'!G199+'DOE25'!G217+'DOE25'!G235+'DOE25'!G278+'DOE25'!G297+'DOE25'!G316</f>
        <v>581.49</v>
      </c>
    </row>
    <row r="37" spans="1:3" x14ac:dyDescent="0.2">
      <c r="A37" t="s">
        <v>779</v>
      </c>
      <c r="B37" s="241">
        <v>3630.34</v>
      </c>
      <c r="C37" s="241">
        <v>581.49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3630.34</v>
      </c>
      <c r="C40" s="232">
        <f>SUM(C37:C39)</f>
        <v>581.49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790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717</v>
      </c>
      <c r="B2" s="266" t="str">
        <f>'DOE25'!A2</f>
        <v>Milan School District</v>
      </c>
      <c r="C2" s="181"/>
      <c r="D2" s="181" t="s">
        <v>792</v>
      </c>
      <c r="E2" s="181" t="s">
        <v>794</v>
      </c>
      <c r="F2" s="277" t="s">
        <v>821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1807254.17</v>
      </c>
      <c r="D5" s="20">
        <f>SUM('DOE25'!L196:L199)+SUM('DOE25'!L214:L217)+SUM('DOE25'!L232:L235)-F5-G5</f>
        <v>1803189.5999999999</v>
      </c>
      <c r="E5" s="244"/>
      <c r="F5" s="256">
        <f>SUM('DOE25'!J196:J199)+SUM('DOE25'!J214:J217)+SUM('DOE25'!J232:J235)</f>
        <v>3732.5699999999997</v>
      </c>
      <c r="G5" s="53">
        <f>SUM('DOE25'!K196:K199)+SUM('DOE25'!K214:K217)+SUM('DOE25'!K232:K235)</f>
        <v>332</v>
      </c>
      <c r="H5" s="260"/>
    </row>
    <row r="6" spans="1:9" x14ac:dyDescent="0.2">
      <c r="A6" s="32">
        <v>2100</v>
      </c>
      <c r="B6" t="s">
        <v>801</v>
      </c>
      <c r="C6" s="246">
        <f t="shared" si="0"/>
        <v>160079.97000000003</v>
      </c>
      <c r="D6" s="20">
        <f>'DOE25'!L201+'DOE25'!L219+'DOE25'!L237-F6-G6</f>
        <v>160079.97000000003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 x14ac:dyDescent="0.2">
      <c r="A7" s="32">
        <v>2200</v>
      </c>
      <c r="B7" t="s">
        <v>834</v>
      </c>
      <c r="C7" s="246">
        <f t="shared" si="0"/>
        <v>48465.78</v>
      </c>
      <c r="D7" s="20">
        <f>'DOE25'!L202+'DOE25'!L220+'DOE25'!L238-F7-G7</f>
        <v>45476.13</v>
      </c>
      <c r="E7" s="244"/>
      <c r="F7" s="256">
        <f>'DOE25'!J202+'DOE25'!J220+'DOE25'!J238</f>
        <v>2989.65</v>
      </c>
      <c r="G7" s="53">
        <f>'DOE25'!K202+'DOE25'!K220+'DOE25'!K238</f>
        <v>0</v>
      </c>
      <c r="H7" s="260"/>
    </row>
    <row r="8" spans="1:9" x14ac:dyDescent="0.2">
      <c r="A8" s="32">
        <v>2300</v>
      </c>
      <c r="B8" t="s">
        <v>802</v>
      </c>
      <c r="C8" s="246">
        <f t="shared" si="0"/>
        <v>92788.099999999991</v>
      </c>
      <c r="D8" s="244"/>
      <c r="E8" s="20">
        <f>'DOE25'!L203+'DOE25'!L221+'DOE25'!L239-F8-G8-D9-D11</f>
        <v>89862.18</v>
      </c>
      <c r="F8" s="256">
        <f>'DOE25'!J203+'DOE25'!J221+'DOE25'!J239</f>
        <v>0</v>
      </c>
      <c r="G8" s="53">
        <f>'DOE25'!K203+'DOE25'!K221+'DOE25'!K239</f>
        <v>2925.92</v>
      </c>
      <c r="H8" s="260"/>
    </row>
    <row r="9" spans="1:9" x14ac:dyDescent="0.2">
      <c r="A9" s="32">
        <v>2310</v>
      </c>
      <c r="B9" t="s">
        <v>818</v>
      </c>
      <c r="C9" s="246">
        <f t="shared" si="0"/>
        <v>12908.98</v>
      </c>
      <c r="D9" s="245">
        <v>12908.98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4200</v>
      </c>
      <c r="D10" s="244"/>
      <c r="E10" s="245">
        <v>4200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23498.9</v>
      </c>
      <c r="D11" s="245">
        <v>23498.9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136532.29</v>
      </c>
      <c r="D12" s="20">
        <f>'DOE25'!L204+'DOE25'!L222+'DOE25'!L240-F12-G12</f>
        <v>133443.29</v>
      </c>
      <c r="E12" s="244"/>
      <c r="F12" s="256">
        <f>'DOE25'!J204+'DOE25'!J222+'DOE25'!J240</f>
        <v>0</v>
      </c>
      <c r="G12" s="53">
        <f>'DOE25'!K204+'DOE25'!K222+'DOE25'!K240</f>
        <v>3089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177277.25</v>
      </c>
      <c r="D14" s="20">
        <f>'DOE25'!L206+'DOE25'!L224+'DOE25'!L242-F14-G14</f>
        <v>172772.26</v>
      </c>
      <c r="E14" s="244"/>
      <c r="F14" s="256">
        <f>'DOE25'!J206+'DOE25'!J224+'DOE25'!J242</f>
        <v>4504.99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168624.5</v>
      </c>
      <c r="D15" s="20">
        <f>'DOE25'!L207+'DOE25'!L225+'DOE25'!L243-F15-G15</f>
        <v>168624.5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5437.45</v>
      </c>
      <c r="D19" s="20">
        <f>'DOE25'!L252-F19-G19</f>
        <v>4967.45</v>
      </c>
      <c r="E19" s="244"/>
      <c r="F19" s="256">
        <f>'DOE25'!J252</f>
        <v>0</v>
      </c>
      <c r="G19" s="53">
        <f>'DOE25'!K252</f>
        <v>470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224120</v>
      </c>
      <c r="D25" s="244"/>
      <c r="E25" s="244"/>
      <c r="F25" s="259"/>
      <c r="G25" s="257"/>
      <c r="H25" s="258">
        <f>'DOE25'!L259+'DOE25'!L260+'DOE25'!L340+'DOE25'!L341</f>
        <v>224120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38082</v>
      </c>
      <c r="D29" s="20">
        <f>'DOE25'!L357+'DOE25'!L358+'DOE25'!L359-'DOE25'!I366-F29-G29</f>
        <v>38082</v>
      </c>
      <c r="E29" s="244"/>
      <c r="F29" s="256">
        <f>'DOE25'!J357+'DOE25'!J358+'DOE25'!J359</f>
        <v>0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100013.9</v>
      </c>
      <c r="D31" s="20">
        <f>'DOE25'!L289+'DOE25'!L308+'DOE25'!L327+'DOE25'!L332+'DOE25'!L333+'DOE25'!L334-F31-G31</f>
        <v>89791.22</v>
      </c>
      <c r="E31" s="244"/>
      <c r="F31" s="256">
        <f>'DOE25'!J289+'DOE25'!J308+'DOE25'!J327+'DOE25'!J332+'DOE25'!J333+'DOE25'!J334</f>
        <v>8919.76</v>
      </c>
      <c r="G31" s="53">
        <f>'DOE25'!K289+'DOE25'!K308+'DOE25'!K327+'DOE25'!K332+'DOE25'!K333+'DOE25'!K334</f>
        <v>1302.9199999999998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2652834.3000000003</v>
      </c>
      <c r="E33" s="247">
        <f>SUM(E5:E31)</f>
        <v>94062.18</v>
      </c>
      <c r="F33" s="247">
        <f>SUM(F5:F31)</f>
        <v>20146.97</v>
      </c>
      <c r="G33" s="247">
        <f>SUM(G5:G31)</f>
        <v>8119.84</v>
      </c>
      <c r="H33" s="247">
        <f>SUM(H5:H31)</f>
        <v>224120</v>
      </c>
    </row>
    <row r="35" spans="2:8" ht="12" thickBot="1" x14ac:dyDescent="0.25">
      <c r="B35" s="254" t="s">
        <v>847</v>
      </c>
      <c r="D35" s="255">
        <f>E33</f>
        <v>94062.18</v>
      </c>
      <c r="E35" s="250"/>
    </row>
    <row r="36" spans="2:8" ht="12" thickTop="1" x14ac:dyDescent="0.2">
      <c r="B36" t="s">
        <v>815</v>
      </c>
      <c r="D36" s="20">
        <f>D33</f>
        <v>2652834.3000000003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Milan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281429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53006.559999999998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225328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31821.66</v>
      </c>
      <c r="D11" s="95">
        <f>'DOE25'!G12</f>
        <v>1022.92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27061.63</v>
      </c>
      <c r="D12" s="95">
        <f>'DOE25'!G13</f>
        <v>2261.36</v>
      </c>
      <c r="E12" s="95">
        <f>'DOE25'!H13</f>
        <v>53251.31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182.59</v>
      </c>
      <c r="D13" s="95">
        <f>'DOE25'!G14</f>
        <v>0</v>
      </c>
      <c r="E13" s="95">
        <f>'DOE25'!H14</f>
        <v>250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393501.44</v>
      </c>
      <c r="D18" s="41">
        <f>SUM(D8:D17)</f>
        <v>3284.28</v>
      </c>
      <c r="E18" s="41">
        <f>SUM(E8:E17)</f>
        <v>53501.31</v>
      </c>
      <c r="F18" s="41">
        <f>SUM(F8:F17)</f>
        <v>0</v>
      </c>
      <c r="G18" s="41">
        <f>SUM(G8:G17)</f>
        <v>225328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32844.58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5278.09</v>
      </c>
      <c r="D23" s="95">
        <f>'DOE25'!G24</f>
        <v>1194.45</v>
      </c>
      <c r="E23" s="95">
        <f>'DOE25'!H24</f>
        <v>16052.67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1725.95</v>
      </c>
      <c r="D27" s="95">
        <f>'DOE25'!G28</f>
        <v>0</v>
      </c>
      <c r="E27" s="95">
        <f>'DOE25'!H28</f>
        <v>357.21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300000</v>
      </c>
      <c r="D29" s="95">
        <f>'DOE25'!G30</f>
        <v>0</v>
      </c>
      <c r="E29" s="95">
        <f>'DOE25'!H30</f>
        <v>4246.8500000000004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307004.03999999998</v>
      </c>
      <c r="D31" s="41">
        <f>SUM(D21:D30)</f>
        <v>1194.45</v>
      </c>
      <c r="E31" s="41">
        <f>SUM(E21:E30)</f>
        <v>53501.31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2089.83</v>
      </c>
      <c r="E46" s="95">
        <f>'DOE25'!H47</f>
        <v>0</v>
      </c>
      <c r="F46" s="95">
        <f>'DOE25'!I47</f>
        <v>0</v>
      </c>
      <c r="G46" s="95">
        <f>'DOE25'!J47</f>
        <v>225328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81497.399999999994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86497.4</v>
      </c>
      <c r="D49" s="41">
        <f>SUM(D34:D48)</f>
        <v>2089.83</v>
      </c>
      <c r="E49" s="41">
        <f>SUM(E34:E48)</f>
        <v>0</v>
      </c>
      <c r="F49" s="41">
        <f>SUM(F34:F48)</f>
        <v>0</v>
      </c>
      <c r="G49" s="41">
        <f>SUM(G34:G48)</f>
        <v>225328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393501.43999999994</v>
      </c>
      <c r="D50" s="41">
        <f>D49+D31</f>
        <v>3284.2799999999997</v>
      </c>
      <c r="E50" s="41">
        <f>E49+E31</f>
        <v>53501.31</v>
      </c>
      <c r="F50" s="41">
        <f>F49+F31</f>
        <v>0</v>
      </c>
      <c r="G50" s="41">
        <f>G49+G31</f>
        <v>225328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1071345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148429.57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394.56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223.25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26625.46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72782.039999999994</v>
      </c>
      <c r="D60" s="95">
        <f>SUM('DOE25'!G97:G109)</f>
        <v>0</v>
      </c>
      <c r="E60" s="95">
        <f>SUM('DOE25'!H97:H109)</f>
        <v>16847.439999999999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221606.16999999998</v>
      </c>
      <c r="D61" s="130">
        <f>SUM(D56:D60)</f>
        <v>26625.46</v>
      </c>
      <c r="E61" s="130">
        <f>SUM(E56:E60)</f>
        <v>16847.439999999999</v>
      </c>
      <c r="F61" s="130">
        <f>SUM(F56:F60)</f>
        <v>0</v>
      </c>
      <c r="G61" s="130">
        <f>SUM(G56:G60)</f>
        <v>223.25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1292951.17</v>
      </c>
      <c r="D62" s="22">
        <f>D55+D61</f>
        <v>26625.46</v>
      </c>
      <c r="E62" s="22">
        <f>E55+E61</f>
        <v>16847.439999999999</v>
      </c>
      <c r="F62" s="22">
        <f>F55+F61</f>
        <v>0</v>
      </c>
      <c r="G62" s="22">
        <f>G55+G61</f>
        <v>223.25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1138717.3799999999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236811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986.62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1376515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78251.37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1806.7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4802.0099999999993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80058.069999999992</v>
      </c>
      <c r="D77" s="130">
        <f>SUM(D71:D76)</f>
        <v>4802.0099999999993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1456573.07</v>
      </c>
      <c r="D80" s="130">
        <f>SUM(D78:D79)+D77+D69</f>
        <v>4802.0099999999993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20505.03</v>
      </c>
      <c r="D87" s="95">
        <f>SUM('DOE25'!G152:G160)</f>
        <v>12701.94</v>
      </c>
      <c r="E87" s="95">
        <f>SUM('DOE25'!H152:H160)</f>
        <v>144491.15000000002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3873.59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24378.62</v>
      </c>
      <c r="D90" s="131">
        <f>SUM(D84:D89)</f>
        <v>12701.94</v>
      </c>
      <c r="E90" s="131">
        <f>SUM(E84:E89)</f>
        <v>144491.15000000002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5000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5000</v>
      </c>
    </row>
    <row r="103" spans="1:7" ht="12.75" thickTop="1" thickBot="1" x14ac:dyDescent="0.25">
      <c r="A103" s="33" t="s">
        <v>765</v>
      </c>
      <c r="C103" s="86">
        <f>C62+C80+C90+C102</f>
        <v>2773902.8600000003</v>
      </c>
      <c r="D103" s="86">
        <f>D62+D80+D90+D102</f>
        <v>44129.409999999996</v>
      </c>
      <c r="E103" s="86">
        <f>E62+E80+E90+E102</f>
        <v>161338.59000000003</v>
      </c>
      <c r="F103" s="86">
        <f>F62+F80+F90+F102</f>
        <v>0</v>
      </c>
      <c r="G103" s="86">
        <f>G62+G80+G102</f>
        <v>5223.25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1445189.75</v>
      </c>
      <c r="D108" s="24" t="s">
        <v>289</v>
      </c>
      <c r="E108" s="95">
        <f>('DOE25'!L275)+('DOE25'!L294)+('DOE25'!L313)</f>
        <v>64101.98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349155.07000000007</v>
      </c>
      <c r="D109" s="24" t="s">
        <v>289</v>
      </c>
      <c r="E109" s="95">
        <f>('DOE25'!L276)+('DOE25'!L295)+('DOE25'!L314)</f>
        <v>33832.879999999997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12909.350000000002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5437.45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1812691.62</v>
      </c>
      <c r="D114" s="86">
        <f>SUM(D108:D113)</f>
        <v>0</v>
      </c>
      <c r="E114" s="86">
        <f>SUM(E108:E113)</f>
        <v>97934.86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160079.97000000003</v>
      </c>
      <c r="D117" s="24" t="s">
        <v>289</v>
      </c>
      <c r="E117" s="95">
        <f>+('DOE25'!L280)+('DOE25'!L299)+('DOE25'!L318)</f>
        <v>596.69999999999993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48465.78</v>
      </c>
      <c r="D118" s="24" t="s">
        <v>289</v>
      </c>
      <c r="E118" s="95">
        <f>+('DOE25'!L281)+('DOE25'!L300)+('DOE25'!L319)</f>
        <v>1217.8399999999999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129195.98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136532.29</v>
      </c>
      <c r="D120" s="24" t="s">
        <v>289</v>
      </c>
      <c r="E120" s="95">
        <f>+('DOE25'!L283)+('DOE25'!L302)+('DOE25'!L321)</f>
        <v>264.5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177277.25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168624.5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42389.979999999996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820175.77</v>
      </c>
      <c r="D127" s="86">
        <f>SUM(D117:D126)</f>
        <v>42389.979999999996</v>
      </c>
      <c r="E127" s="86">
        <f>SUM(E117:E126)</f>
        <v>2079.04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175000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49120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92.960000000000008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5130.29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-223.25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5450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61324.69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234570</v>
      </c>
      <c r="D143" s="141">
        <f>SUM(D129:D142)</f>
        <v>0</v>
      </c>
      <c r="E143" s="141">
        <f>SUM(E129:E142)</f>
        <v>61324.69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2867437.39</v>
      </c>
      <c r="D144" s="86">
        <f>(D114+D127+D143)</f>
        <v>42389.979999999996</v>
      </c>
      <c r="E144" s="86">
        <f>(E114+E127+E143)</f>
        <v>161338.59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15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06/2002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07/2017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2600000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4.38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1200000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1200000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175000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175000</v>
      </c>
    </row>
    <row r="158" spans="1:9" x14ac:dyDescent="0.2">
      <c r="A158" s="22" t="s">
        <v>35</v>
      </c>
      <c r="B158" s="137">
        <f>'DOE25'!F497</f>
        <v>1025000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1025000</v>
      </c>
    </row>
    <row r="159" spans="1:9" x14ac:dyDescent="0.2">
      <c r="A159" s="22" t="s">
        <v>36</v>
      </c>
      <c r="B159" s="137">
        <f>'DOE25'!F498</f>
        <v>135685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135685</v>
      </c>
    </row>
    <row r="160" spans="1:9" x14ac:dyDescent="0.2">
      <c r="A160" s="22" t="s">
        <v>37</v>
      </c>
      <c r="B160" s="137">
        <f>'DOE25'!F499</f>
        <v>1160685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1160685</v>
      </c>
    </row>
    <row r="161" spans="1:7" x14ac:dyDescent="0.2">
      <c r="A161" s="22" t="s">
        <v>38</v>
      </c>
      <c r="B161" s="137">
        <f>'DOE25'!F500</f>
        <v>175000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175000</v>
      </c>
    </row>
    <row r="162" spans="1:7" x14ac:dyDescent="0.2">
      <c r="A162" s="22" t="s">
        <v>39</v>
      </c>
      <c r="B162" s="137">
        <f>'DOE25'!F501</f>
        <v>41420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41420</v>
      </c>
    </row>
    <row r="163" spans="1:7" x14ac:dyDescent="0.2">
      <c r="A163" s="22" t="s">
        <v>246</v>
      </c>
      <c r="B163" s="137">
        <f>'DOE25'!F502</f>
        <v>216420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216420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740</v>
      </c>
      <c r="B1" s="281"/>
      <c r="C1" s="281"/>
      <c r="D1" s="281"/>
    </row>
    <row r="2" spans="1:4" x14ac:dyDescent="0.2">
      <c r="A2" s="187" t="s">
        <v>717</v>
      </c>
      <c r="B2" s="186" t="str">
        <f>'DOE25'!A2</f>
        <v>Milan School District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11109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11109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1509292</v>
      </c>
      <c r="D10" s="182">
        <f>ROUND((C10/$C$28)*100,1)</f>
        <v>52.7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382988</v>
      </c>
      <c r="D11" s="182">
        <f>ROUND((C11/$C$28)*100,1)</f>
        <v>13.4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12909</v>
      </c>
      <c r="D13" s="182">
        <f>ROUND((C13/$C$28)*100,1)</f>
        <v>0.5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160677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49684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129196</v>
      </c>
      <c r="D17" s="182">
        <f t="shared" si="0"/>
        <v>4.5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136797</v>
      </c>
      <c r="D18" s="182">
        <f t="shared" si="0"/>
        <v>4.8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177277</v>
      </c>
      <c r="D20" s="182">
        <f t="shared" si="0"/>
        <v>6.2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168625</v>
      </c>
      <c r="D21" s="182">
        <f t="shared" si="0"/>
        <v>5.9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5437</v>
      </c>
      <c r="D24" s="182">
        <f t="shared" si="0"/>
        <v>0.2</v>
      </c>
    </row>
    <row r="25" spans="1:4" x14ac:dyDescent="0.2">
      <c r="A25">
        <v>5120</v>
      </c>
      <c r="B25" t="s">
        <v>720</v>
      </c>
      <c r="C25" s="179">
        <f>ROUND('DOE25'!L260+'DOE25'!L341,0)</f>
        <v>49120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66774.69</v>
      </c>
      <c r="D26" s="182">
        <f t="shared" si="0"/>
        <v>2.2999999999999998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15764.54</v>
      </c>
      <c r="D27" s="182">
        <f t="shared" si="0"/>
        <v>0.6</v>
      </c>
    </row>
    <row r="28" spans="1:4" x14ac:dyDescent="0.2">
      <c r="B28" s="187" t="s">
        <v>723</v>
      </c>
      <c r="C28" s="180">
        <f>SUM(C10:C27)</f>
        <v>2864541.23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 x14ac:dyDescent="0.2">
      <c r="B30" s="187" t="s">
        <v>729</v>
      </c>
      <c r="C30" s="180">
        <f>SUM(C28:C29)</f>
        <v>2864541.23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175000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1071345</v>
      </c>
      <c r="D35" s="182">
        <f t="shared" ref="D35:D40" si="1">ROUND((C35/$C$41)*100,1)</f>
        <v>36.299999999999997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238676.8600000001</v>
      </c>
      <c r="D36" s="182">
        <f t="shared" si="1"/>
        <v>8.1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1376515</v>
      </c>
      <c r="D37" s="182">
        <f t="shared" si="1"/>
        <v>46.6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84860</v>
      </c>
      <c r="D38" s="182">
        <f t="shared" si="1"/>
        <v>2.9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181572</v>
      </c>
      <c r="D39" s="182">
        <f t="shared" si="1"/>
        <v>6.1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2952968.8600000003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98" t="s">
        <v>767</v>
      </c>
      <c r="B2" s="299"/>
      <c r="C2" s="299"/>
      <c r="D2" s="299"/>
      <c r="E2" s="299"/>
      <c r="F2" s="292" t="str">
        <f>'DOE25'!A2</f>
        <v>Milan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9</v>
      </c>
      <c r="B4" s="220">
        <v>2</v>
      </c>
      <c r="C4" s="282" t="s">
        <v>912</v>
      </c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8</v>
      </c>
      <c r="B5" s="220">
        <v>2</v>
      </c>
      <c r="C5" s="282" t="s">
        <v>913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848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2012-08-20T17:44:29Z</cp:lastPrinted>
  <dcterms:created xsi:type="dcterms:W3CDTF">1997-12-04T19:04:30Z</dcterms:created>
  <dcterms:modified xsi:type="dcterms:W3CDTF">2012-11-21T15:02:50Z</dcterms:modified>
</cp:coreProperties>
</file>