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0" i="12" l="1"/>
  <c r="C21" i="12"/>
  <c r="C11" i="12"/>
  <c r="C10" i="12" l="1"/>
  <c r="C19" i="12"/>
  <c r="C12" i="12" l="1"/>
  <c r="C28" i="12"/>
  <c r="B37" i="12"/>
  <c r="B38" i="12"/>
  <c r="B39" i="12"/>
  <c r="B28" i="12"/>
  <c r="B19" i="12"/>
  <c r="B20" i="12"/>
  <c r="B21" i="12"/>
  <c r="B10" i="12"/>
  <c r="B11" i="12"/>
  <c r="B12" i="12"/>
  <c r="D11" i="13"/>
  <c r="E10" i="13"/>
  <c r="D9" i="13"/>
  <c r="I506" i="1" l="1"/>
  <c r="H542" i="1" l="1"/>
  <c r="H541" i="1"/>
  <c r="H540" i="1"/>
  <c r="H537" i="1"/>
  <c r="H536" i="1"/>
  <c r="H535" i="1"/>
  <c r="G532" i="1"/>
  <c r="G531" i="1"/>
  <c r="G530" i="1"/>
  <c r="H530" i="1"/>
  <c r="K532" i="1"/>
  <c r="K531" i="1"/>
  <c r="K530" i="1"/>
  <c r="I532" i="1"/>
  <c r="I531" i="1"/>
  <c r="I530" i="1"/>
  <c r="H532" i="1"/>
  <c r="H531" i="1"/>
  <c r="F532" i="1"/>
  <c r="F531" i="1"/>
  <c r="F530" i="1"/>
  <c r="G527" i="1"/>
  <c r="G526" i="1"/>
  <c r="G525" i="1"/>
  <c r="H527" i="1"/>
  <c r="H526" i="1"/>
  <c r="H525" i="1"/>
  <c r="F527" i="1"/>
  <c r="F526" i="1"/>
  <c r="F525" i="1"/>
  <c r="I527" i="1"/>
  <c r="I526" i="1"/>
  <c r="I525" i="1"/>
  <c r="G521" i="1"/>
  <c r="F521" i="1"/>
  <c r="J520" i="1"/>
  <c r="I520" i="1"/>
  <c r="H520" i="1"/>
  <c r="G520" i="1"/>
  <c r="F520" i="1"/>
  <c r="J522" i="1"/>
  <c r="I522" i="1"/>
  <c r="G522" i="1"/>
  <c r="F522" i="1"/>
  <c r="J521" i="1"/>
  <c r="I521" i="1"/>
  <c r="H521" i="1"/>
  <c r="H522" i="1"/>
  <c r="H583" i="1"/>
  <c r="G581" i="1"/>
  <c r="F581" i="1"/>
  <c r="H581" i="1"/>
  <c r="G566" i="1"/>
  <c r="F566" i="1"/>
  <c r="K567" i="1"/>
  <c r="I567" i="1"/>
  <c r="G567" i="1"/>
  <c r="F567" i="1"/>
  <c r="K566" i="1"/>
  <c r="I566" i="1"/>
  <c r="I561" i="1" l="1"/>
  <c r="I563" i="1"/>
  <c r="I562" i="1"/>
  <c r="G563" i="1"/>
  <c r="G562" i="1"/>
  <c r="G561" i="1"/>
  <c r="F563" i="1"/>
  <c r="F562" i="1"/>
  <c r="F561" i="1"/>
  <c r="I556" i="1"/>
  <c r="H556" i="1"/>
  <c r="G556" i="1"/>
  <c r="F556" i="1"/>
  <c r="J556" i="1"/>
  <c r="G557" i="1"/>
  <c r="F557" i="1"/>
  <c r="G610" i="1" l="1"/>
  <c r="G611" i="1"/>
  <c r="G612" i="1"/>
  <c r="F612" i="1"/>
  <c r="I611" i="1"/>
  <c r="F611" i="1"/>
  <c r="I610" i="1"/>
  <c r="F610" i="1"/>
  <c r="J592" i="1"/>
  <c r="J590" i="1"/>
  <c r="I590" i="1"/>
  <c r="H590" i="1"/>
  <c r="J591" i="1"/>
  <c r="I591" i="1"/>
  <c r="H591" i="1"/>
  <c r="J593" i="1"/>
  <c r="I593" i="1"/>
  <c r="J603" i="1"/>
  <c r="I603" i="1"/>
  <c r="H603" i="1"/>
  <c r="H234" i="1" l="1"/>
  <c r="H242" i="1"/>
  <c r="F471" i="1"/>
  <c r="J244" i="1"/>
  <c r="I244" i="1"/>
  <c r="H244" i="1"/>
  <c r="H243" i="1"/>
  <c r="I242" i="1"/>
  <c r="J239" i="1"/>
  <c r="I239" i="1"/>
  <c r="H239" i="1"/>
  <c r="H238" i="1"/>
  <c r="H237" i="1"/>
  <c r="I233" i="1"/>
  <c r="H233" i="1"/>
  <c r="J226" i="1"/>
  <c r="I226" i="1"/>
  <c r="H226" i="1"/>
  <c r="H225" i="1"/>
  <c r="H224" i="1"/>
  <c r="I224" i="1"/>
  <c r="J221" i="1"/>
  <c r="I221" i="1"/>
  <c r="H221" i="1"/>
  <c r="H220" i="1"/>
  <c r="H219" i="1"/>
  <c r="I215" i="1"/>
  <c r="H215" i="1"/>
  <c r="J208" i="1"/>
  <c r="I208" i="1"/>
  <c r="H208" i="1"/>
  <c r="H207" i="1"/>
  <c r="H206" i="1"/>
  <c r="I206" i="1"/>
  <c r="J203" i="1"/>
  <c r="I203" i="1"/>
  <c r="H203" i="1"/>
  <c r="H202" i="1"/>
  <c r="H201" i="1"/>
  <c r="I197" i="1"/>
  <c r="H197" i="1"/>
  <c r="G242" i="1" l="1"/>
  <c r="G224" i="1"/>
  <c r="G206" i="1"/>
  <c r="G244" i="1"/>
  <c r="G240" i="1"/>
  <c r="G239" i="1"/>
  <c r="G238" i="1"/>
  <c r="G237" i="1"/>
  <c r="G234" i="1"/>
  <c r="G226" i="1"/>
  <c r="G222" i="1"/>
  <c r="G221" i="1"/>
  <c r="G220" i="1"/>
  <c r="G219" i="1"/>
  <c r="G217" i="1"/>
  <c r="G215" i="1"/>
  <c r="G214" i="1"/>
  <c r="G208" i="1"/>
  <c r="G204" i="1"/>
  <c r="G203" i="1"/>
  <c r="G202" i="1"/>
  <c r="G201" i="1"/>
  <c r="G199" i="1"/>
  <c r="G197" i="1"/>
  <c r="G196" i="1"/>
  <c r="F244" i="1" l="1"/>
  <c r="F226" i="1"/>
  <c r="F208" i="1"/>
  <c r="I234" i="1" l="1"/>
  <c r="J233" i="1"/>
  <c r="H232" i="1"/>
  <c r="I232" i="1"/>
  <c r="I237" i="1"/>
  <c r="I214" i="1"/>
  <c r="I220" i="1"/>
  <c r="I196" i="1"/>
  <c r="K240" i="1"/>
  <c r="K234" i="1"/>
  <c r="J232" i="1"/>
  <c r="I240" i="1"/>
  <c r="I235" i="1"/>
  <c r="H240" i="1"/>
  <c r="H235" i="1"/>
  <c r="J197" i="1"/>
  <c r="J196" i="1"/>
  <c r="I202" i="1"/>
  <c r="I201" i="1"/>
  <c r="K259" i="1" l="1"/>
  <c r="I204" i="1"/>
  <c r="I238" i="1"/>
  <c r="H199" i="1"/>
  <c r="J242" i="1"/>
  <c r="F242" i="1"/>
  <c r="F239" i="1"/>
  <c r="K239" i="1"/>
  <c r="F238" i="1"/>
  <c r="F237" i="1"/>
  <c r="F233" i="1"/>
  <c r="J224" i="1"/>
  <c r="F224" i="1"/>
  <c r="K221" i="1"/>
  <c r="F221" i="1"/>
  <c r="F220" i="1"/>
  <c r="I219" i="1"/>
  <c r="F219" i="1"/>
  <c r="F215" i="1"/>
  <c r="J215" i="1"/>
  <c r="J206" i="1"/>
  <c r="F206" i="1"/>
  <c r="K203" i="1"/>
  <c r="F203" i="1"/>
  <c r="F202" i="1"/>
  <c r="F201" i="1"/>
  <c r="F197" i="1"/>
  <c r="K237" i="1" l="1"/>
  <c r="K235" i="1"/>
  <c r="K232" i="1"/>
  <c r="K222" i="1"/>
  <c r="K217" i="1"/>
  <c r="K214" i="1"/>
  <c r="K204" i="1"/>
  <c r="K199" i="1"/>
  <c r="K196" i="1"/>
  <c r="J240" i="1"/>
  <c r="J238" i="1"/>
  <c r="J234" i="1"/>
  <c r="J222" i="1"/>
  <c r="J220" i="1"/>
  <c r="J214" i="1"/>
  <c r="I222" i="1"/>
  <c r="I217" i="1"/>
  <c r="H222" i="1"/>
  <c r="H217" i="1"/>
  <c r="H214" i="1"/>
  <c r="H204" i="1"/>
  <c r="H196" i="1"/>
  <c r="F240" i="1"/>
  <c r="F235" i="1"/>
  <c r="F234" i="1"/>
  <c r="F232" i="1"/>
  <c r="F222" i="1"/>
  <c r="F217" i="1"/>
  <c r="F214" i="1"/>
  <c r="F204" i="1"/>
  <c r="F199" i="1"/>
  <c r="F196" i="1"/>
  <c r="F49" i="1"/>
  <c r="F47" i="1"/>
  <c r="F36" i="1"/>
  <c r="F28" i="1"/>
  <c r="F24" i="1"/>
  <c r="F17" i="1"/>
  <c r="F14" i="1"/>
  <c r="F13" i="1"/>
  <c r="F9" i="1"/>
  <c r="F467" i="1"/>
  <c r="F159" i="1"/>
  <c r="F186" i="1" l="1"/>
  <c r="F181" i="1"/>
  <c r="F126" i="1"/>
  <c r="F125" i="1"/>
  <c r="F124" i="1"/>
  <c r="F122" i="1"/>
  <c r="F117" i="1"/>
  <c r="F116" i="1"/>
  <c r="F109" i="1"/>
  <c r="F108" i="1"/>
  <c r="F100" i="1"/>
  <c r="F95" i="1"/>
  <c r="F69" i="1"/>
  <c r="F68" i="1"/>
  <c r="F67" i="1"/>
  <c r="F63" i="1"/>
  <c r="F62" i="1"/>
  <c r="J316" i="1" l="1"/>
  <c r="I275" i="1"/>
  <c r="K316" i="1"/>
  <c r="K297" i="1"/>
  <c r="K278" i="1"/>
  <c r="H471" i="1"/>
  <c r="H464" i="1"/>
  <c r="J320" i="1"/>
  <c r="J314" i="1"/>
  <c r="J301" i="1"/>
  <c r="J295" i="1"/>
  <c r="J276" i="1"/>
  <c r="I320" i="1"/>
  <c r="I318" i="1"/>
  <c r="I314" i="1"/>
  <c r="I301" i="1"/>
  <c r="I299" i="1"/>
  <c r="I295" i="1"/>
  <c r="I280" i="1"/>
  <c r="I276" i="1"/>
  <c r="H319" i="1"/>
  <c r="H318" i="1"/>
  <c r="H300" i="1"/>
  <c r="H299" i="1"/>
  <c r="H281" i="1"/>
  <c r="H280" i="1"/>
  <c r="G319" i="1"/>
  <c r="G318" i="1"/>
  <c r="G314" i="1"/>
  <c r="G300" i="1"/>
  <c r="G299" i="1"/>
  <c r="G295" i="1"/>
  <c r="G281" i="1"/>
  <c r="G280" i="1"/>
  <c r="F319" i="1"/>
  <c r="F318" i="1"/>
  <c r="F314" i="1"/>
  <c r="F300" i="1"/>
  <c r="F299" i="1"/>
  <c r="F295" i="1"/>
  <c r="F281" i="1"/>
  <c r="F280" i="1"/>
  <c r="J315" i="1" l="1"/>
  <c r="J313" i="1"/>
  <c r="J335" i="1"/>
  <c r="J281" i="1"/>
  <c r="I332" i="1"/>
  <c r="I316" i="1"/>
  <c r="I315" i="1"/>
  <c r="I313" i="1"/>
  <c r="I281" i="1"/>
  <c r="I278" i="1"/>
  <c r="F278" i="1"/>
  <c r="H316" i="1"/>
  <c r="H282" i="1"/>
  <c r="H276" i="1"/>
  <c r="G332" i="1"/>
  <c r="G315" i="1"/>
  <c r="G313" i="1"/>
  <c r="G282" i="1"/>
  <c r="G278" i="1"/>
  <c r="G276" i="1"/>
  <c r="G275" i="1"/>
  <c r="F332" i="1"/>
  <c r="F315" i="1"/>
  <c r="F313" i="1"/>
  <c r="F282" i="1"/>
  <c r="F276" i="1"/>
  <c r="F275" i="1"/>
  <c r="H467" i="1"/>
  <c r="H159" i="1"/>
  <c r="H158" i="1"/>
  <c r="H155" i="1"/>
  <c r="H154" i="1"/>
  <c r="H153" i="1"/>
  <c r="H156" i="1"/>
  <c r="H109" i="1"/>
  <c r="H101" i="1"/>
  <c r="H47" i="1"/>
  <c r="H22" i="1"/>
  <c r="H13" i="1"/>
  <c r="G456" i="1" l="1"/>
  <c r="H457" i="1"/>
  <c r="H456" i="1"/>
  <c r="J109" i="1" l="1"/>
  <c r="J95" i="1"/>
  <c r="J101" i="1"/>
  <c r="I405" i="1"/>
  <c r="H405" i="1"/>
  <c r="I399" i="1"/>
  <c r="H399" i="1"/>
  <c r="H431" i="1" l="1"/>
  <c r="I428" i="1"/>
  <c r="J428" i="1"/>
  <c r="H425" i="1"/>
  <c r="G455" i="1"/>
  <c r="H441" i="1"/>
  <c r="G441" i="1"/>
  <c r="I471" i="1" l="1"/>
  <c r="H377" i="1"/>
  <c r="H30" i="1" l="1"/>
  <c r="H12" i="1"/>
  <c r="I324" i="1"/>
  <c r="H324" i="1"/>
  <c r="H188" i="1"/>
  <c r="H64" i="1"/>
  <c r="G467" i="1" l="1"/>
  <c r="G96" i="1"/>
  <c r="G471" i="1"/>
  <c r="F366" i="1"/>
  <c r="G366" i="1"/>
  <c r="H366" i="1"/>
  <c r="I359" i="1"/>
  <c r="I358" i="1"/>
  <c r="I357" i="1"/>
  <c r="H367" i="1"/>
  <c r="G367" i="1"/>
  <c r="F367" i="1"/>
  <c r="K359" i="1"/>
  <c r="J359" i="1"/>
  <c r="H359" i="1"/>
  <c r="F359" i="1"/>
  <c r="H358" i="1"/>
  <c r="F358" i="1"/>
  <c r="K357" i="1"/>
  <c r="J357" i="1"/>
  <c r="H357" i="1"/>
  <c r="F357" i="1"/>
  <c r="G359" i="1"/>
  <c r="G358" i="1"/>
  <c r="G357" i="1"/>
  <c r="G464" i="1"/>
  <c r="G160" i="1"/>
  <c r="G157" i="1"/>
  <c r="G131" i="1"/>
  <c r="G100" i="1"/>
  <c r="G47" i="1" l="1"/>
  <c r="G13" i="1"/>
  <c r="G12" i="1"/>
  <c r="G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 s="1"/>
  <c r="G652" i="1"/>
  <c r="H652" i="1"/>
  <c r="G653" i="1"/>
  <c r="H653" i="1"/>
  <c r="H654" i="1"/>
  <c r="J351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C10" i="10" l="1"/>
  <c r="L210" i="1"/>
  <c r="L256" i="1" s="1"/>
  <c r="L270" i="1" s="1"/>
  <c r="G631" i="1" s="1"/>
  <c r="J631" i="1" s="1"/>
  <c r="C127" i="2"/>
  <c r="C13" i="10"/>
  <c r="G31" i="13"/>
  <c r="G33" i="13" s="1"/>
  <c r="L406" i="1"/>
  <c r="C139" i="2" s="1"/>
  <c r="K433" i="1"/>
  <c r="G133" i="2" s="1"/>
  <c r="G143" i="2" s="1"/>
  <c r="G144" i="2" s="1"/>
  <c r="J433" i="1"/>
  <c r="J641" i="1"/>
  <c r="D50" i="2"/>
  <c r="J652" i="1"/>
  <c r="J649" i="1"/>
  <c r="J648" i="1"/>
  <c r="F544" i="1"/>
  <c r="I433" i="1"/>
  <c r="G433" i="1"/>
  <c r="I337" i="1"/>
  <c r="I351" i="1" s="1"/>
  <c r="G168" i="1"/>
  <c r="I139" i="1"/>
  <c r="G139" i="1"/>
  <c r="F139" i="1"/>
  <c r="I662" i="1"/>
  <c r="A22" i="12"/>
  <c r="F31" i="13"/>
  <c r="G570" i="1"/>
  <c r="J653" i="1"/>
  <c r="L361" i="1"/>
  <c r="C80" i="2"/>
  <c r="E77" i="2"/>
  <c r="E80" i="2" s="1"/>
  <c r="E103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F192" i="1" s="1"/>
  <c r="G626" i="1" s="1"/>
  <c r="J626" i="1" s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L569" i="1"/>
  <c r="I570" i="1"/>
  <c r="I544" i="1"/>
  <c r="J635" i="1"/>
  <c r="G36" i="2"/>
  <c r="G49" i="2" s="1"/>
  <c r="G50" i="2" s="1"/>
  <c r="J50" i="1"/>
  <c r="L564" i="1"/>
  <c r="G544" i="1"/>
  <c r="L544" i="1"/>
  <c r="H544" i="1"/>
  <c r="K550" i="1"/>
  <c r="K551" i="1" s="1"/>
  <c r="F143" i="2"/>
  <c r="F144" i="2" s="1"/>
  <c r="L570" i="1" l="1"/>
  <c r="J647" i="1"/>
  <c r="F659" i="1"/>
  <c r="F663" i="1" s="1"/>
  <c r="F671" i="1" s="1"/>
  <c r="C4" i="10" s="1"/>
  <c r="C39" i="10"/>
  <c r="C41" i="10" s="1"/>
  <c r="D39" i="10" s="1"/>
  <c r="H192" i="1"/>
  <c r="G628" i="1" s="1"/>
  <c r="J628" i="1" s="1"/>
  <c r="L433" i="1"/>
  <c r="G637" i="1" s="1"/>
  <c r="J637" i="1" s="1"/>
  <c r="C27" i="10"/>
  <c r="G634" i="1"/>
  <c r="J634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66" i="1" l="1"/>
  <c r="C28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3" i="10" l="1"/>
  <c r="D24" i="10"/>
  <c r="D22" i="10"/>
  <c r="D25" i="10"/>
  <c r="C30" i="10"/>
  <c r="D17" i="10"/>
  <c r="D11" i="10"/>
  <c r="D15" i="10"/>
  <c r="D19" i="10"/>
  <c r="D16" i="10"/>
  <c r="D12" i="10"/>
  <c r="D21" i="10"/>
  <c r="D26" i="10"/>
  <c r="D18" i="10"/>
  <c r="D13" i="10"/>
  <c r="D20" i="10"/>
  <c r="D10" i="10"/>
  <c r="D27" i="10"/>
  <c r="D41" i="10"/>
  <c r="I666" i="1"/>
  <c r="I671" i="1"/>
  <c r="C7" i="10" s="1"/>
  <c r="G671" i="1"/>
  <c r="C5" i="10" s="1"/>
  <c r="G666" i="1"/>
  <c r="D28" i="10" l="1"/>
  <c r="C40" i="12"/>
  <c r="A40" i="12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<sst xmlns="http://schemas.openxmlformats.org/spreadsheetml/2006/main" count="3961" uniqueCount="924">
  <si>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</si>
  <si>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</si>
  <si>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</si>
  <si>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</si>
  <si>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</si>
  <si>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</si>
  <si>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</si>
  <si>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</si>
  <si>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</si>
  <si>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</si>
  <si>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</si>
  <si>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</si>
  <si>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</si>
  <si>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</si>
  <si>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</si>
  <si>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</si>
  <si>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</si>
  <si>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</si>
  <si>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</si>
  <si>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</si>
  <si>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</si>
  <si>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</si>
  <si>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</si>
  <si>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</si>
  <si>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</si>
  <si>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</si>
  <si>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</si>
  <si>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</si>
  <si>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</si>
  <si>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</si>
  <si>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</si>
  <si>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</si>
  <si>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</si>
  <si>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</si>
  <si>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</si>
  <si>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</si>
  <si>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</si>
  <si>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</si>
  <si>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</si>
  <si>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</si>
  <si>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</si>
  <si>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</si>
  <si>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</si>
  <si>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</si>
  <si>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</si>
  <si>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</si>
  <si>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</si>
  <si>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</si>
  <si>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</si>
  <si>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</si>
  <si>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</si>
  <si>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</si>
  <si>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</si>
  <si>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</si>
  <si>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</si>
  <si>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</si>
  <si>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</si>
  <si>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</si>
  <si>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</si>
  <si>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</si>
  <si>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</si>
  <si>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</si>
  <si>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</si>
  <si>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</si>
  <si>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</si>
  <si>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</si>
  <si>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</si>
  <si>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</si>
  <si>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</si>
  <si>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</si>
  <si>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</si>
  <si>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</si>
  <si>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</si>
  <si>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</si>
  <si>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</si>
  <si>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</si>
  <si>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</si>
  <si>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</si>
  <si>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</si>
  <si>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</si>
  <si>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</si>
  <si>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</si>
  <si>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</si>
  <si>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</si>
  <si>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</si>
  <si>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</si>
  <si>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</si>
  <si>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</si>
  <si>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</si>
  <si>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</si>
  <si>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</si>
  <si>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</si>
  <si>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</si>
  <si>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</si>
  <si>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</si>
  <si>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</si>
  <si>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</si>
  <si>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</si>
  <si>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</si>
  <si>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</si>
  <si>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</si>
  <si>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</si>
  <si>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</si>
  <si>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</si>
  <si>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</si>
  <si>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</si>
  <si>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</si>
  <si>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</si>
  <si>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</si>
  <si>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</si>
  <si>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</si>
  <si>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</si>
  <si>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</si>
  <si>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</si>
  <si>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</si>
  <si>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</si>
  <si>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</si>
  <si>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</si>
  <si>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</si>
  <si>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</si>
  <si>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</si>
  <si>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</si>
  <si>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</si>
  <si>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</si>
  <si>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</si>
  <si>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</si>
  <si>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</si>
  <si>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</si>
  <si>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</si>
  <si>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</si>
  <si>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</si>
  <si>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</si>
  <si>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</si>
  <si>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</si>
  <si>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</si>
  <si>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</si>
  <si>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</si>
  <si>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</si>
  <si>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</si>
  <si>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</si>
  <si>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</si>
  <si>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</si>
  <si>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</si>
  <si>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</si>
  <si>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</si>
  <si>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</si>
  <si>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</si>
  <si>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</si>
  <si>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</si>
  <si>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</si>
  <si>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</si>
  <si>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</si>
  <si>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</si>
  <si>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</si>
  <si>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</si>
  <si>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</si>
  <si>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</si>
  <si>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</si>
  <si>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</si>
  <si>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</si>
  <si>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</si>
  <si>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</si>
  <si>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</si>
  <si>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</si>
  <si>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</si>
  <si>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</si>
  <si>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</si>
  <si>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</si>
  <si>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</si>
  <si>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</si>
  <si>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</si>
  <si>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</si>
  <si>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</si>
  <si>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</si>
  <si>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</si>
  <si>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</si>
  <si>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</si>
  <si>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</si>
  <si>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</si>
  <si>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</si>
  <si>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</si>
  <si>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</si>
  <si>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</si>
  <si>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</si>
  <si>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</si>
  <si>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</si>
  <si>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</si>
  <si>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</si>
  <si>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</si>
  <si>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</si>
  <si>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</si>
  <si>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</si>
  <si>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</si>
  <si>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</si>
  <si>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</si>
  <si>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</si>
  <si>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</si>
  <si>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</si>
  <si>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</si>
  <si>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</si>
  <si>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</si>
  <si>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</si>
  <si>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</si>
  <si>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</si>
  <si>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</si>
  <si>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</si>
  <si>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</si>
  <si>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</si>
  <si>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</si>
  <si>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</si>
  <si>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</si>
  <si>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</si>
  <si>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</si>
  <si>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</si>
  <si>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</si>
  <si>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</si>
  <si>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</si>
  <si>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</si>
  <si>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</si>
  <si>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</si>
  <si>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</si>
  <si>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</si>
  <si>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</si>
  <si>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</si>
  <si>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</si>
  <si>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</si>
  <si>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</si>
  <si>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</si>
  <si>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</si>
  <si>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</si>
  <si>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</si>
  <si>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</si>
  <si>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</si>
  <si>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</si>
  <si>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</si>
  <si>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</si>
  <si>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</si>
  <si>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</si>
  <si>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</si>
  <si>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</si>
  <si>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</si>
  <si>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</si>
  <si>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</si>
  <si>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</si>
  <si>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</si>
  <si>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</si>
  <si>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</si>
  <si>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</si>
  <si>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</si>
  <si>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</si>
  <si>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</si>
  <si>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</si>
  <si>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</si>
  <si>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</si>
  <si>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</si>
  <si>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</si>
  <si>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</si>
  <si>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</si>
  <si>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</si>
  <si>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</si>
  <si>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</si>
  <si>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</si>
  <si>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</si>
  <si>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</si>
  <si>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</si>
  <si>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</si>
  <si>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</si>
  <si>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</si>
  <si>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</si>
  <si>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</si>
  <si>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</si>
  <si>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</si>
  <si>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</si>
  <si>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</si>
  <si>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</si>
  <si>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</si>
  <si>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</si>
  <si>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</si>
  <si>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</si>
  <si>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</si>
  <si>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</si>
  <si>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</si>
  <si>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</si>
  <si>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</si>
  <si>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</si>
  <si>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</si>
  <si>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</si>
  <si>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</si>
  <si>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</si>
  <si>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</si>
  <si>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</si>
  <si>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</si>
  <si>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</si>
  <si>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</si>
  <si>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</si>
  <si>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</si>
  <si>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</si>
  <si>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</si>
  <si>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</si>
  <si>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</si>
  <si>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</si>
  <si>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</si>
  <si>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</si>
  <si>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</si>
  <si>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</si>
  <si>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</si>
  <si>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</si>
  <si>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</si>
  <si>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</si>
  <si>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</si>
  <si>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</si>
  <si>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</si>
  <si>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</si>
  <si>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</si>
  <si>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</si>
  <si>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</si>
  <si>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</si>
  <si>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</si>
  <si>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</si>
  <si>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</si>
  <si>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</si>
  <si>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</si>
  <si>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</si>
  <si>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</si>
  <si>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</si>
  <si>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</si>
  <si>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</si>
  <si>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</si>
  <si>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</si>
  <si>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</si>
  <si>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</si>
  <si>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</si>
  <si>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</si>
  <si>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</si>
  <si>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</si>
  <si>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</si>
  <si>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</si>
  <si>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</si>
  <si>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</si>
  <si>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</si>
  <si>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</si>
  <si>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</si>
  <si>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</si>
  <si>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</si>
  <si>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</si>
  <si>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</si>
  <si>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</si>
  <si>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</si>
  <si>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</si>
  <si>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</si>
  <si>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</si>
  <si>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</si>
  <si>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</si>
  <si>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</si>
  <si>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</si>
  <si>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</si>
  <si>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</si>
  <si>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</si>
  <si>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</si>
  <si>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</si>
  <si>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</si>
  <si>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</si>
  <si>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</si>
  <si>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</si>
  <si>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</si>
  <si>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</si>
  <si>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</si>
  <si>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</si>
  <si>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</si>
  <si>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</si>
  <si>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</si>
  <si>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</si>
  <si>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</si>
  <si>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</si>
  <si>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</si>
  <si>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</si>
  <si>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</si>
  <si>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</si>
  <si>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</si>
  <si>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</si>
  <si>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</si>
  <si>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</si>
  <si>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</si>
  <si>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</si>
  <si>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</si>
  <si>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</si>
  <si>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</si>
  <si>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</si>
  <si>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</si>
  <si>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</si>
  <si>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</si>
  <si>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</si>
  <si>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</si>
  <si>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</si>
  <si>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</si>
  <si>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</si>
  <si>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</si>
  <si>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</si>
  <si>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</si>
  <si>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</si>
  <si>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</si>
  <si>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</si>
  <si>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</si>
  <si>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</si>
  <si>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</si>
  <si>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</si>
  <si>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</si>
  <si>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</si>
  <si>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</si>
  <si>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</si>
  <si>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</si>
  <si>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</si>
  <si>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</si>
  <si>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</si>
  <si>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</si>
  <si>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</si>
  <si>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</si>
  <si>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</si>
  <si>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</si>
  <si>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</si>
  <si>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</si>
  <si>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</si>
  <si>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</si>
  <si>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</si>
  <si>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</si>
  <si>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</si>
  <si>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</si>
  <si>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</si>
  <si>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</si>
  <si>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</si>
  <si>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</si>
  <si>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</si>
  <si>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</si>
  <si>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</si>
  <si>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</si>
  <si>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</si>
  <si>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</si>
  <si>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</si>
  <si>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</si>
  <si>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</si>
  <si>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</si>
  <si>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</si>
  <si>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</si>
  <si>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</si>
  <si>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</si>
  <si>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</si>
  <si>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</si>
  <si>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</si>
  <si>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</si>
  <si>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</si>
  <si>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</si>
  <si>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</si>
  <si>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</si>
  <si>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</si>
  <si>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</si>
  <si>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</si>
  <si>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</si>
  <si>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</si>
  <si>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</si>
  <si>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</si>
  <si>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</si>
  <si>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</si>
  <si>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</si>
  <si>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</si>
  <si>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</si>
  <si>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</si>
  <si>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</si>
  <si>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</si>
  <si>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</si>
  <si>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</si>
  <si>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</si>
  <si>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</si>
  <si>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</si>
  <si>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</si>
  <si>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</si>
  <si>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</si>
  <si>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</si>
  <si>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</si>
  <si>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</si>
  <si>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</si>
  <si>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</si>
  <si>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</si>
  <si>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</si>
  <si>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</si>
  <si>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</si>
  <si>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</si>
  <si>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</si>
  <si>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</si>
  <si>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</si>
  <si>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</si>
  <si>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</si>
  <si>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</si>
  <si>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</si>
  <si>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</si>
  <si>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</si>
  <si>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</si>
  <si>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</si>
  <si>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</si>
  <si>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</si>
  <si>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</si>
  <si>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</si>
  <si>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</si>
  <si>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</si>
  <si>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</si>
  <si>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</si>
  <si>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</si>
  <si>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</si>
  <si>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</si>
  <si>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</si>
  <si>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</si>
  <si>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</si>
  <si>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</si>
  <si>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</si>
  <si>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</si>
  <si>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</si>
  <si>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</si>
  <si>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</si>
  <si>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</si>
  <si>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</si>
  <si>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</si>
  <si>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</si>
  <si>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</si>
  <si>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</si>
  <si>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</si>
  <si>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</si>
  <si>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</si>
  <si>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</si>
  <si>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</si>
  <si>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</si>
  <si>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</si>
  <si>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</si>
  <si>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</si>
  <si>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</si>
  <si>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</si>
  <si>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</si>
  <si>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</si>
  <si>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</si>
  <si>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</si>
  <si>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</si>
  <si>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</si>
  <si>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</si>
  <si>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</si>
  <si>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</si>
  <si>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</si>
  <si>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</si>
  <si>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</si>
  <si>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</si>
  <si>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</si>
  <si>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</si>
  <si>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</si>
  <si>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</si>
  <si>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</si>
  <si>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</si>
  <si>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</si>
  <si>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</si>
  <si>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</si>
  <si>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</si>
  <si>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</si>
  <si>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</si>
  <si>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</si>
  <si>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</si>
  <si>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</si>
  <si>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</si>
  <si>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</si>
  <si>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</si>
  <si>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</si>
  <si>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</si>
  <si>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</si>
  <si>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</si>
  <si>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</si>
  <si>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</si>
  <si>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</si>
  <si>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</si>
  <si>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</si>
  <si>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</si>
  <si>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</si>
  <si>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</si>
  <si>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</si>
  <si>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</si>
  <si>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</si>
  <si>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</si>
  <si>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</si>
  <si>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</si>
  <si>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</si>
  <si>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</si>
  <si>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</si>
  <si>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</si>
  <si>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</si>
  <si>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</si>
  <si>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</si>
  <si>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</si>
  <si>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</si>
  <si>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</si>
  <si>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</si>
  <si>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</si>
  <si>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</si>
  <si>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</si>
  <si>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</si>
  <si>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</si>
  <si>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</si>
  <si>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</si>
  <si>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</si>
  <si>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</si>
  <si>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</si>
  <si>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</si>
  <si>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</si>
  <si>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</si>
  <si>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</si>
  <si>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</si>
  <si>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</si>
  <si>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</si>
  <si>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</si>
  <si>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</si>
  <si>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</si>
  <si>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</si>
  <si>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</si>
  <si>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</si>
  <si>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</si>
  <si>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</si>
  <si>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</si>
  <si>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</si>
  <si>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</si>
  <si>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</si>
  <si>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</si>
  <si>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</si>
  <si>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</si>
  <si>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</si>
  <si>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</si>
  <si>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</si>
  <si>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</si>
  <si>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</si>
  <si>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</si>
  <si>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</si>
  <si>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</si>
  <si>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</si>
  <si>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</si>
  <si>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</si>
  <si>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</si>
  <si>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</si>
  <si>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</si>
  <si>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</si>
  <si>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</si>
  <si>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</si>
  <si>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</si>
  <si>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</si>
  <si>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</si>
  <si>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</si>
  <si>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</si>
  <si>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</si>
  <si>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</si>
  <si>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</si>
  <si>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</si>
  <si>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</si>
  <si>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</si>
  <si>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</si>
  <si>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</si>
  <si>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</si>
  <si>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</si>
  <si>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</si>
  <si>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</si>
  <si>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</si>
  <si>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</si>
  <si>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</si>
  <si>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</si>
  <si>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</si>
  <si>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</si>
  <si>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</si>
  <si>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</si>
  <si>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</si>
  <si>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</si>
  <si>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</si>
  <si>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</si>
  <si>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</si>
  <si>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</si>
  <si>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</si>
  <si>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</si>
  <si>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</si>
  <si>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</si>
  <si>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</si>
  <si>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</si>
  <si>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</si>
  <si>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</si>
  <si>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</si>
  <si>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</si>
  <si>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</si>
  <si>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</si>
  <si>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</si>
  <si>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</si>
  <si>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</si>
  <si>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</si>
  <si>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</si>
  <si>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</si>
  <si>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</si>
  <si>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</si>
  <si>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</si>
  <si>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</si>
  <si>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</si>
  <si>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</si>
  <si>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</si>
  <si>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</si>
  <si>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</si>
  <si>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</si>
  <si>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</si>
  <si>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</si>
  <si>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</si>
  <si>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</si>
  <si>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</si>
  <si>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</si>
  <si>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</si>
  <si>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</si>
  <si>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</si>
  <si>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</si>
  <si>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</si>
  <si>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</si>
  <si>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</si>
  <si>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</si>
  <si>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</si>
  <si>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</si>
  <si>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</si>
  <si>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</si>
  <si>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</si>
  <si>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</si>
  <si>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</si>
  <si>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</si>
  <si>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</si>
  <si>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</si>
  <si>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</si>
  <si>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</si>
  <si>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</si>
  <si>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</si>
  <si>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</si>
  <si>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</si>
  <si>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</si>
  <si>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</si>
  <si>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</si>
  <si>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</si>
  <si>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</si>
  <si>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</si>
  <si>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</si>
  <si>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</si>
  <si>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</si>
  <si>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</si>
  <si>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</si>
  <si>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</si>
  <si>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</si>
  <si>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</si>
  <si>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</si>
  <si>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</si>
  <si>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</si>
  <si>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</si>
  <si>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</si>
  <si>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</si>
  <si>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</si>
  <si>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</si>
  <si>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</si>
  <si>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</si>
  <si>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</si>
  <si>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</si>
  <si>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</si>
  <si>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</si>
  <si>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</si>
  <si>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</si>
  <si>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</si>
  <si>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</si>
  <si>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</si>
  <si>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</si>
  <si>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</si>
  <si>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</si>
  <si>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</si>
  <si>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</si>
  <si>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</si>
  <si>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</si>
  <si>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</si>
  <si>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</si>
  <si>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</si>
  <si>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</si>
  <si>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</si>
  <si>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</si>
  <si>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</si>
  <si>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</si>
  <si>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</si>
  <si>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</si>
  <si>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</si>
  <si>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</si>
  <si>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</si>
  <si>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</si>
  <si>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</si>
  <si>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</si>
  <si>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</si>
  <si>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</si>
  <si>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</si>
  <si>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</si>
  <si>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</si>
  <si>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</si>
  <si>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</si>
  <si>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</si>
  <si>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</si>
  <si>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</si>
  <si>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</si>
  <si>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</si>
  <si>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</si>
  <si>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</si>
  <si>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</si>
  <si>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</si>
  <si>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</si>
  <si>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</si>
  <si>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</si>
  <si>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</si>
  <si>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</si>
  <si>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</si>
  <si>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</si>
  <si>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</si>
  <si>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</si>
  <si>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</si>
  <si>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</si>
  <si>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</si>
  <si>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</si>
  <si>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</si>
  <si>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</si>
  <si>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</si>
  <si>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</si>
  <si>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</si>
  <si>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</si>
  <si>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</si>
  <si>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</si>
  <si>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</si>
  <si>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</si>
  <si>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</si>
  <si>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</si>
  <si>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</si>
  <si>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</si>
  <si>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</si>
  <si>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</si>
  <si>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</si>
  <si>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</si>
  <si>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</si>
  <si>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</si>
  <si>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</si>
  <si>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</si>
  <si>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</si>
  <si>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</si>
  <si>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</si>
  <si>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</si>
  <si>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</si>
  <si>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</si>
  <si>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</si>
  <si>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</si>
  <si>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</si>
  <si>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</si>
  <si>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</si>
  <si>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</si>
  <si>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</si>
  <si>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</si>
  <si>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</si>
  <si>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</si>
  <si>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</si>
  <si>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</si>
  <si>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</si>
  <si>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</si>
  <si>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</si>
  <si>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</si>
  <si>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</si>
  <si>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</si>
  <si>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</si>
  <si>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</si>
  <si>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</si>
  <si>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</si>
  <si>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</si>
  <si>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</si>
  <si>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</si>
  <si>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</si>
  <si>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</si>
  <si>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</si>
  <si>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</si>
  <si>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</si>
  <si>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</si>
  <si>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</si>
  <si>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</si>
  <si>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</si>
  <si>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</si>
  <si>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</si>
  <si>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</si>
  <si>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</si>
  <si>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</si>
  <si>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</si>
  <si>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</si>
  <si>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</si>
  <si>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</si>
  <si>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</si>
  <si>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</si>
  <si>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</si>
  <si>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</si>
  <si>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</si>
  <si>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</si>
  <si>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</si>
  <si>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</si>
  <si>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</si>
  <si>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</si>
  <si>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</si>
  <si>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</si>
  <si>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</si>
  <si>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</si>
  <si>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</si>
  <si>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</si>
  <si>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</si>
  <si>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</si>
  <si>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</si>
  <si>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</si>
  <si>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</si>
  <si>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MILFORD SCHOOL DISTRICT SAU #40</t>
  </si>
  <si>
    <t>MAA OCONNOR</t>
  </si>
  <si>
    <t>MARCHESI</t>
  </si>
  <si>
    <t>PHILIPS</t>
  </si>
  <si>
    <t>SCHOLARSHIP FUNDS</t>
  </si>
  <si>
    <t>01/98</t>
  </si>
  <si>
    <t>01/13</t>
  </si>
  <si>
    <t>01/08</t>
  </si>
  <si>
    <t>01/28</t>
  </si>
  <si>
    <t>01/92</t>
  </si>
  <si>
    <t>01/12</t>
  </si>
  <si>
    <t>01/20</t>
  </si>
  <si>
    <t>07/10</t>
  </si>
  <si>
    <t>07/15</t>
  </si>
  <si>
    <t>01/00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</si>
</sst>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357</v>
      </c>
      <c r="C2" s="21">
        <v>357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675693.83</f>
        <v>675693.83</v>
      </c>
      <c r="G9" s="18">
        <f>398.65</f>
        <v>398.65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207838.2</v>
      </c>
      <c r="G12" s="18">
        <f>83523.98</f>
        <v>83523.98</v>
      </c>
      <c r="H12" s="18">
        <f>16807.38</f>
        <v>16807.38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76566.25</f>
        <v>76566.25</v>
      </c>
      <c r="G13" s="18">
        <f>15056.06</f>
        <v>15056.06</v>
      </c>
      <c r="H13" s="18">
        <f>374294.12</f>
        <v>374294.12</v>
      </c>
      <c r="I13" s="18"/>
      <c r="J13" s="67">
        <f>SUM(I441)</f>
        <v>2627395.81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2349.03</f>
        <v>2349.0300000000002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128066.59</f>
        <v>128066.59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8">
        <v>500</v>
      </c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1090513.9000000001</v>
      </c>
      <c r="G19" s="41">
        <f>SUM(G9:G18)</f>
        <v>98978.689999999988</v>
      </c>
      <c r="H19" s="41">
        <f>SUM(H9:H18)</f>
        <v>391601.5</v>
      </c>
      <c r="I19" s="41">
        <f>SUM(I9:I18)</f>
        <v>0</v>
      </c>
      <c r="J19" s="41">
        <f>SUM(J9:J18)</f>
        <v>2627395.81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308169.56</f>
        <v>308169.56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3165.24</f>
        <v>3165.24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240710.82</f>
        <v>240710.82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-900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13725</f>
        <v>13725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242976.06</v>
      </c>
      <c r="G32" s="41">
        <f>SUM(G22:G31)</f>
        <v>0</v>
      </c>
      <c r="H32" s="41">
        <f>SUM(H22:H31)</f>
        <v>321894.56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128066.59</f>
        <v>128066.59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2415177.23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151061.16999999998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61157.41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f>77000</f>
        <v>77000</v>
      </c>
      <c r="G47" s="18">
        <f>98978.69</f>
        <v>98978.69</v>
      </c>
      <c r="H47" s="18">
        <f>3082.38+66624.56</f>
        <v>69706.94</v>
      </c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177607.25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464864</f>
        <v>464864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847537.84</v>
      </c>
      <c r="G50" s="41">
        <f>SUM(G35:G49)</f>
        <v>98978.69</v>
      </c>
      <c r="H50" s="41">
        <f>SUM(H35:H49)</f>
        <v>69706.94</v>
      </c>
      <c r="I50" s="41">
        <f>SUM(I35:I49)</f>
        <v>0</v>
      </c>
      <c r="J50" s="41">
        <f>SUM(J35:J49)</f>
        <v>2627395.81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1090513.8999999999</v>
      </c>
      <c r="G51" s="41">
        <f>G50+G32</f>
        <v>98978.69</v>
      </c>
      <c r="H51" s="41">
        <f>H50+H32</f>
        <v>391601.5</v>
      </c>
      <c r="I51" s="41">
        <f>I50+I32</f>
        <v>0</v>
      </c>
      <c r="J51" s="41">
        <f>J50+J32</f>
        <v>2627395.81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19222462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19222462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15268.47+3840</f>
        <v>19108.47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f>4810</f>
        <v>4810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f>76160</f>
        <v>76160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761736.27</f>
        <v>761736.27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f>228592.28</f>
        <v>228592.28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f>28592.55</f>
        <v>28592.55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1042839.5700000001</v>
      </c>
      <c r="G78" s="45" t="s">
        <v>289</v>
      </c>
      <c r="H78" s="41">
        <f>SUM(H62:H77)</f>
        <v>76160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2539.28</f>
        <v>2539.2800000000002</v>
      </c>
      <c r="G95" s="18"/>
      <c r="H95" s="18"/>
      <c r="I95" s="18"/>
      <c r="J95" s="18">
        <f>75436.57</f>
        <v>75436.570000000007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501013.78</f>
        <v>501013.78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8266.73</f>
        <v>8266.73</v>
      </c>
      <c r="G100" s="18">
        <f>180.45</f>
        <v>180.45</v>
      </c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18834.59</f>
        <v>18834.59</v>
      </c>
      <c r="I101" s="18"/>
      <c r="J101" s="18">
        <f>17807</f>
        <v>17807</v>
      </c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f>81.42</f>
        <v>81.42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40587.3</f>
        <v>40587.300000000003</v>
      </c>
      <c r="G109" s="18"/>
      <c r="H109" s="18">
        <f>1505</f>
        <v>1505</v>
      </c>
      <c r="I109" s="18"/>
      <c r="J109" s="18">
        <f>89809.69</f>
        <v>89809.69</v>
      </c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51474.73</v>
      </c>
      <c r="G110" s="41">
        <f>SUM(G95:G109)</f>
        <v>501194.23000000004</v>
      </c>
      <c r="H110" s="41">
        <f>SUM(H95:H109)</f>
        <v>20339.59</v>
      </c>
      <c r="I110" s="41">
        <f>SUM(I95:I109)</f>
        <v>0</v>
      </c>
      <c r="J110" s="41">
        <f>SUM(J95:J109)</f>
        <v>183053.26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20316776.300000001</v>
      </c>
      <c r="G111" s="41">
        <f>G59+G110</f>
        <v>501194.23000000004</v>
      </c>
      <c r="H111" s="41">
        <f>H59+H78+H93+H110</f>
        <v>96499.59</v>
      </c>
      <c r="I111" s="41">
        <f>I59+I110</f>
        <v>0</v>
      </c>
      <c r="J111" s="41">
        <f>J59+J110</f>
        <v>183053.26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8238374.99</f>
        <v>8238374.9900000002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3171213</f>
        <v>3171213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7138.01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11416726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f>366534.04</f>
        <v>366534.04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f>220800</f>
        <v>220800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f>127469.88</f>
        <v>127469.88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f>122181.69</f>
        <v>122181.69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1420.28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9879.25</f>
        <v>9879.25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838405.89000000013</v>
      </c>
      <c r="G135" s="41">
        <f>SUM(G122:G134)</f>
        <v>9879.25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12255131.890000001</v>
      </c>
      <c r="G139" s="41">
        <f>G120+SUM(G135:G136)</f>
        <v>9879.25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375772.36</f>
        <v>375772.36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142016.63</f>
        <v>142016.63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111299.51</f>
        <v>111299.51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9724.23</f>
        <v>9724.23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278224.68</f>
        <v>278224.68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811099.12</f>
        <v>811099.12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287504.28+11420.13</f>
        <v>298924.41000000003</v>
      </c>
      <c r="G159" s="24" t="s">
        <v>289</v>
      </c>
      <c r="H159" s="18">
        <f>1585</f>
        <v>1585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f>47757.19</f>
        <v>47757.19</v>
      </c>
      <c r="H160" s="18">
        <v>15657.52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298924.41000000003</v>
      </c>
      <c r="G161" s="41">
        <f>SUM(G149:G160)</f>
        <v>325981.87</v>
      </c>
      <c r="H161" s="41">
        <f>SUM(H149:H160)</f>
        <v>1467154.37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298924.41000000003</v>
      </c>
      <c r="G168" s="41">
        <f>G146+G161+SUM(G162:G167)</f>
        <v>325981.87</v>
      </c>
      <c r="H168" s="41">
        <f>H146+H161+SUM(H162:H167)</f>
        <v>1467154.37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f>221.91</f>
        <v>221.91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221.91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f>35000</f>
        <v>35000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35000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2686.24</v>
      </c>
      <c r="G188" s="18"/>
      <c r="H188" s="18">
        <f>6525</f>
        <v>6525</v>
      </c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37908.15</v>
      </c>
      <c r="G191" s="41">
        <f>G182+SUM(G187:G190)</f>
        <v>0</v>
      </c>
      <c r="H191" s="41">
        <f>+H182+SUM(H187:H190)</f>
        <v>6525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32908740.75</v>
      </c>
      <c r="G192" s="47">
        <f>G111+G139+G168+G191</f>
        <v>837055.35000000009</v>
      </c>
      <c r="H192" s="47">
        <f>H111+H139+H168+H191</f>
        <v>1570178.9600000002</v>
      </c>
      <c r="I192" s="47">
        <f>I111+I139+I168+I191</f>
        <v>0</v>
      </c>
      <c r="J192" s="47">
        <f>J111+J139+J191</f>
        <v>183053.26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3757066.14</f>
        <v>3757066.14</v>
      </c>
      <c r="G196" s="18">
        <f>1724812.13</f>
        <v>1724812.13</v>
      </c>
      <c r="H196" s="18">
        <f>2932.33</f>
        <v>2932.33</v>
      </c>
      <c r="I196" s="18">
        <f>88179.95-229.18+527.87+2804.2+1010.59+15625.5+2878.26+13590.06+3601.95+1866.15-67.31-26.25-41.95-210.28-1798.98-150.86</f>
        <v>127559.71999999999</v>
      </c>
      <c r="J196" s="18">
        <f>1148.28+3329.02</f>
        <v>4477.3</v>
      </c>
      <c r="K196" s="18">
        <f>242.5</f>
        <v>242.5</v>
      </c>
      <c r="L196" s="19">
        <f>SUM(F196:K196)</f>
        <v>5617090.1199999992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1264237.18+91921.37+16386.82+28433.16+22628.5+6954.97</f>
        <v>1430561.9999999998</v>
      </c>
      <c r="G197" s="18">
        <f>599687.7</f>
        <v>599687.69999999995</v>
      </c>
      <c r="H197" s="18">
        <f>4357.2-4000+198.37+29078.27+1801.79+1140.05</f>
        <v>32575.68</v>
      </c>
      <c r="I197" s="18">
        <f>1810.03-16.7+382.8+884.36+867+175+17.4+1300.76</f>
        <v>5420.65</v>
      </c>
      <c r="J197" s="18">
        <f>31.26</f>
        <v>31.26</v>
      </c>
      <c r="K197" s="18"/>
      <c r="L197" s="19">
        <f>SUM(F197:K197)</f>
        <v>2068277.2899999996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7212.55</f>
        <v>7212.55</v>
      </c>
      <c r="G199" s="18">
        <f>1351.73</f>
        <v>1351.73</v>
      </c>
      <c r="H199" s="18">
        <f>15000-1250</f>
        <v>13750</v>
      </c>
      <c r="I199" s="18"/>
      <c r="J199" s="18"/>
      <c r="K199" s="18">
        <f>990</f>
        <v>990</v>
      </c>
      <c r="L199" s="19">
        <f>SUM(F199:K199)</f>
        <v>23304.28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199900.7+112198.82+8505.49+229154.75+49774.27+20299.06+124374.75</f>
        <v>744207.84000000008</v>
      </c>
      <c r="G201" s="18">
        <f>683.86+93949.8+40045.91+130415.81+60908.56</f>
        <v>326003.94</v>
      </c>
      <c r="H201" s="18">
        <f>9038+649.25+6119.4+203.5+103.6+8444.8</f>
        <v>24558.55</v>
      </c>
      <c r="I201" s="18">
        <f>918.52+1379.82+2284.08+1471.05+345.8+859.16+995.93</f>
        <v>8254.36</v>
      </c>
      <c r="J201" s="18"/>
      <c r="K201" s="18"/>
      <c r="L201" s="19">
        <f t="shared" ref="L201:L207" si="0">SUM(F201:K201)</f>
        <v>1103024.6900000002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81138.25+26249.76+407.59</f>
        <v>107795.59999999999</v>
      </c>
      <c r="G202" s="18">
        <f>76.39+33244.41</f>
        <v>33320.800000000003</v>
      </c>
      <c r="H202" s="18">
        <f>2456.07+2292+949.42+1032.06+2080</f>
        <v>8809.5499999999993</v>
      </c>
      <c r="I202" s="18">
        <f>7789.33-80.72+1104.81+366.09+201.37</f>
        <v>9380.880000000001</v>
      </c>
      <c r="J202" s="18"/>
      <c r="K202" s="18"/>
      <c r="L202" s="19">
        <f t="shared" si="0"/>
        <v>159306.82999999999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95354.48+61.2+2448+1514.5+139330.36+107460.29+77141.23+36494.97</f>
        <v>459805.02999999991</v>
      </c>
      <c r="G203" s="18">
        <f>323.52+137879.37+104963.92</f>
        <v>243166.81</v>
      </c>
      <c r="H203" s="18">
        <f>3598.91+6385.2+4657.32+3259.1+3749.24+3733.2+196.24+873.35+221.95+2988.9+1666.99+396*0.408+499.82+227.41+17.47+121.38+5.2+24.96</f>
        <v>32388.208000000002</v>
      </c>
      <c r="I203" s="18">
        <f>2881.41+69.33+1826.18+493.08</f>
        <v>5270</v>
      </c>
      <c r="J203" s="18">
        <f>5889.31</f>
        <v>5889.31</v>
      </c>
      <c r="K203" s="18">
        <f>2517.09+2470.14+838.8</f>
        <v>5826.03</v>
      </c>
      <c r="L203" s="19">
        <f t="shared" si="0"/>
        <v>752345.38799999992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455583.63</f>
        <v>455583.63</v>
      </c>
      <c r="G204" s="18">
        <f>254640.07</f>
        <v>254640.07</v>
      </c>
      <c r="H204" s="18">
        <f>9333.38</f>
        <v>9333.3799999999992</v>
      </c>
      <c r="I204" s="18">
        <f>2962.25-48.63</f>
        <v>2913.62</v>
      </c>
      <c r="J204" s="18"/>
      <c r="K204" s="18">
        <f>2517</f>
        <v>2517</v>
      </c>
      <c r="L204" s="19">
        <f t="shared" si="0"/>
        <v>724987.7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299736.1+29024.87+64469.24+3419.48</f>
        <v>396649.68999999994</v>
      </c>
      <c r="G206" s="18">
        <f>192212.06+0.01+805.55*0.408</f>
        <v>192540.73440000002</v>
      </c>
      <c r="H206" s="18">
        <f>117061.26-4090.46+12816.92+20804.18+39.61+17546.36+28388.53+1703.06+2007.01+32937.86+25234+22264+1000+1500+751.53+188.17-50-2500-415+5447.67+453.99</f>
        <v>283088.69</v>
      </c>
      <c r="I206" s="18">
        <f>202109.76-230.66+26152.75+3458.63+224.09+89.02+3963.19+4058.5-3287.92-3179.64-878.86-675.27+1549.07+213.36</f>
        <v>233566.02</v>
      </c>
      <c r="J206" s="18">
        <f>184.65</f>
        <v>184.65</v>
      </c>
      <c r="K206" s="18"/>
      <c r="L206" s="19">
        <f t="shared" si="0"/>
        <v>1106029.7843999998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97041.32-2712+330549.08+409.91</f>
        <v>425288.31</v>
      </c>
      <c r="I207" s="18"/>
      <c r="J207" s="18"/>
      <c r="K207" s="18"/>
      <c r="L207" s="19">
        <f t="shared" si="0"/>
        <v>425288.31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52282.57+160757.66</f>
        <v>213040.23</v>
      </c>
      <c r="G208" s="18">
        <f>23861.92</f>
        <v>23861.919999999998</v>
      </c>
      <c r="H208" s="18">
        <f>110.16+29856.2+391.68+124.8+4143.36</f>
        <v>34626.199999999997</v>
      </c>
      <c r="I208" s="18">
        <f>534.34+2791.22+6108.59</f>
        <v>9434.15</v>
      </c>
      <c r="J208" s="18">
        <f>6853.41+7660.17+1229.97</f>
        <v>15743.55</v>
      </c>
      <c r="K208" s="18"/>
      <c r="L208" s="19">
        <f>SUM(F208:K208)</f>
        <v>296706.05000000005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7571922.709999999</v>
      </c>
      <c r="G210" s="41">
        <f t="shared" si="1"/>
        <v>3399385.8343999996</v>
      </c>
      <c r="H210" s="41">
        <f t="shared" si="1"/>
        <v>867350.89800000004</v>
      </c>
      <c r="I210" s="41">
        <f t="shared" si="1"/>
        <v>401799.4</v>
      </c>
      <c r="J210" s="41">
        <f t="shared" si="1"/>
        <v>26326.07</v>
      </c>
      <c r="K210" s="41">
        <f t="shared" si="1"/>
        <v>9575.5299999999988</v>
      </c>
      <c r="L210" s="41">
        <f t="shared" si="1"/>
        <v>12276360.442399999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2580584.28</f>
        <v>2580584.2799999998</v>
      </c>
      <c r="G214" s="18">
        <f>1225104.08</f>
        <v>1225104.08</v>
      </c>
      <c r="H214" s="18">
        <f>1971.42</f>
        <v>1971.42</v>
      </c>
      <c r="I214" s="18">
        <f>61122.78-559.75+3920.3+3299.9</f>
        <v>67783.23</v>
      </c>
      <c r="J214" s="18">
        <f>25699.57</f>
        <v>25699.57</v>
      </c>
      <c r="K214" s="18">
        <f>590</f>
        <v>590</v>
      </c>
      <c r="L214" s="19">
        <f>SUM(F214:K214)</f>
        <v>3901732.5799999996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750838.65+14537.4+17673.53+2423.97+4205.88+13643.65+4193.44</f>
        <v>807516.52</v>
      </c>
      <c r="G215" s="18">
        <f>346755.31</f>
        <v>346755.31</v>
      </c>
      <c r="H215" s="18">
        <f>118.18+17323.22+280.73+11650.81-3626+1701.7+1076.72+42.98</f>
        <v>28568.340000000004</v>
      </c>
      <c r="I215" s="18">
        <f>3645.92+314.55+29.57-10.06+4427.17+19.87+725.42</f>
        <v>9152.4400000000023</v>
      </c>
      <c r="J215" s="18">
        <f>168.36</f>
        <v>168.36</v>
      </c>
      <c r="K215" s="18"/>
      <c r="L215" s="19">
        <f>SUM(F215:K215)</f>
        <v>1192160.9700000002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35980+4510</f>
        <v>40490</v>
      </c>
      <c r="G217" s="18">
        <f>3738.13</f>
        <v>3738.13</v>
      </c>
      <c r="H217" s="18">
        <f>9035</f>
        <v>9035</v>
      </c>
      <c r="I217" s="18">
        <f>3852.31</f>
        <v>3852.31</v>
      </c>
      <c r="J217" s="18"/>
      <c r="K217" s="18">
        <f>3209</f>
        <v>3209</v>
      </c>
      <c r="L217" s="19">
        <f>SUM(F217:K217)</f>
        <v>60324.439999999995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151096.75+77428.11+2835.17+106675.49+23170.78+3332.68+15908.4</f>
        <v>380447.38000000006</v>
      </c>
      <c r="G219" s="18">
        <f>227.96+71012.8+27535.72+61206.75+7744.62</f>
        <v>167727.85</v>
      </c>
      <c r="H219" s="18">
        <f>8842+386.7+1875.3+94.73+13.25+2865.2</f>
        <v>14077.18</v>
      </c>
      <c r="I219" s="18">
        <f>561.95+1035.01+699.96+450.81+160.97+109.89</f>
        <v>3018.5899999999997</v>
      </c>
      <c r="J219" s="18"/>
      <c r="K219" s="18"/>
      <c r="L219" s="19">
        <f t="shared" ref="L219:L225" si="2">SUM(F219:K219)</f>
        <v>565271.00000000012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73102.12+12163.25+245.76</f>
        <v>85511.12999999999</v>
      </c>
      <c r="G220" s="18">
        <f>45.72+33963.19</f>
        <v>34008.910000000003</v>
      </c>
      <c r="H220" s="18">
        <f>2697.8+1114+572.44+622.27+1160</f>
        <v>6166.51</v>
      </c>
      <c r="I220" s="18">
        <f>594.34+5521.43+666.14+220.73+40.76</f>
        <v>7043.4000000000005</v>
      </c>
      <c r="J220" s="18">
        <f>191.08</f>
        <v>191.08</v>
      </c>
      <c r="K220" s="18"/>
      <c r="L220" s="19">
        <f t="shared" si="2"/>
        <v>132921.02999999997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92127.62+36.9+1476+913.15+84008.02+64792.23+45956.48+21741.69</f>
        <v>311052.09000000003</v>
      </c>
      <c r="G221" s="18">
        <f>195.06+83133.15+74572.06</f>
        <v>157900.26999999999</v>
      </c>
      <c r="H221" s="18">
        <f>2169.94+3849.9+2808.09+1965.05+2260.57+2250.9+118.33+526.58+133.82+1802.13+993.1+396*0.246+278.75+126.82+9.75+67.7+2.9+13.92</f>
        <v>19475.665999999997</v>
      </c>
      <c r="I221" s="18">
        <f>1737.32+41.81+1087.94+274.99</f>
        <v>3142.0599999999995</v>
      </c>
      <c r="J221" s="18">
        <f>3284.43</f>
        <v>3284.43</v>
      </c>
      <c r="K221" s="18">
        <f>1517.66+1489.35+499.72</f>
        <v>3506.7300000000005</v>
      </c>
      <c r="L221" s="19">
        <f t="shared" si="2"/>
        <v>498361.24599999993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309918.44</f>
        <v>309918.44</v>
      </c>
      <c r="G222" s="18">
        <f>154771.34</f>
        <v>154771.34</v>
      </c>
      <c r="H222" s="18">
        <f>1698.06</f>
        <v>1698.06</v>
      </c>
      <c r="I222" s="18">
        <f>1872.96</f>
        <v>1872.96</v>
      </c>
      <c r="J222" s="18">
        <f>59.99</f>
        <v>59.99</v>
      </c>
      <c r="K222" s="18">
        <f>2463</f>
        <v>2463</v>
      </c>
      <c r="L222" s="19">
        <f t="shared" si="2"/>
        <v>470783.79000000004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185863.87+16913.77+37568.41+1992.65</f>
        <v>242338.69999999998</v>
      </c>
      <c r="G224" s="18">
        <f>127501.4-0.01+805.55*0.246</f>
        <v>127699.55529999999</v>
      </c>
      <c r="H224" s="18">
        <f>57500.64-10365.74+7468.85+12123.31+23.09+10224.86+16542.95+992.43+1169.56+19859.6+26828+1500+868.61-1500+3774.77+253.19</f>
        <v>147264.11999999997</v>
      </c>
      <c r="I224" s="18">
        <f>175009.12+15240.09+2015.46+1073.38+147.85</f>
        <v>193485.9</v>
      </c>
      <c r="J224" s="18">
        <f>107.6</f>
        <v>107.6</v>
      </c>
      <c r="K224" s="18"/>
      <c r="L224" s="19">
        <f t="shared" si="2"/>
        <v>710895.87529999996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39750.28-512.27+194787.85+241.55</f>
        <v>234267.41</v>
      </c>
      <c r="I225" s="18"/>
      <c r="J225" s="18"/>
      <c r="K225" s="18"/>
      <c r="L225" s="19">
        <f t="shared" si="2"/>
        <v>234267.41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31523.32+81850.91</f>
        <v>113374.23000000001</v>
      </c>
      <c r="G226" s="18">
        <f>14387.34</f>
        <v>14387.34</v>
      </c>
      <c r="H226" s="18">
        <f>66.42+18001.53+236.16+69.6+2310.72</f>
        <v>20684.429999999997</v>
      </c>
      <c r="I226" s="18">
        <f>322.18+1682.94+3406.71</f>
        <v>5411.83</v>
      </c>
      <c r="J226" s="18">
        <f>4132.21+4618.64+685.94</f>
        <v>9436.7900000000009</v>
      </c>
      <c r="K226" s="18"/>
      <c r="L226" s="19">
        <f>SUM(F226:K226)</f>
        <v>163294.62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4871232.7700000005</v>
      </c>
      <c r="G228" s="41">
        <f>SUM(G214:G227)</f>
        <v>2232092.7853000001</v>
      </c>
      <c r="H228" s="41">
        <f>SUM(H214:H227)</f>
        <v>483208.136</v>
      </c>
      <c r="I228" s="41">
        <f>SUM(I214:I227)</f>
        <v>294762.72000000003</v>
      </c>
      <c r="J228" s="41">
        <f>SUM(J214:J227)</f>
        <v>38947.820000000007</v>
      </c>
      <c r="K228" s="41">
        <f t="shared" si="3"/>
        <v>9768.73</v>
      </c>
      <c r="L228" s="41">
        <f t="shared" si="3"/>
        <v>7930012.9613000015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3178279.03</f>
        <v>3178279.03</v>
      </c>
      <c r="G232" s="18">
        <v>1497957.97</v>
      </c>
      <c r="H232" s="18">
        <f>3730.53+128.24</f>
        <v>3858.7700000000004</v>
      </c>
      <c r="I232" s="18">
        <f>76088.56-458.55+29</f>
        <v>75659.009999999995</v>
      </c>
      <c r="J232" s="18">
        <f>46738.9+3692</f>
        <v>50430.9</v>
      </c>
      <c r="K232" s="18">
        <f>2345</f>
        <v>2345</v>
      </c>
      <c r="L232" s="19">
        <f>SUM(F232:K232)</f>
        <v>4808530.68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635523.5+106607.6+129605.9+1222+2120.33+19189.85+5898.09</f>
        <v>900167.2699999999</v>
      </c>
      <c r="G233" s="18">
        <v>385891.32</v>
      </c>
      <c r="H233" s="18">
        <f>336401.17-6395.35+152.42+22341.46+2058.66+437.5+1501.5+950.04+122.33</f>
        <v>357569.73</v>
      </c>
      <c r="I233" s="18">
        <f>935.19+2306.72+216.82-14.15+4408.8+175+56.56+1100.64</f>
        <v>9185.58</v>
      </c>
      <c r="J233" s="18">
        <f>1234.64+22354.12-2035.03</f>
        <v>21553.73</v>
      </c>
      <c r="K233" s="18"/>
      <c r="L233" s="19">
        <f>SUM(F233:K233)</f>
        <v>1674367.63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678085.4</f>
        <v>678085.4</v>
      </c>
      <c r="G234" s="18">
        <f>319618.16</f>
        <v>319618.15999999997</v>
      </c>
      <c r="H234" s="18">
        <f>16905.91-3363.31+39+2985.04-569.92+82.14+593.62-56.77</f>
        <v>16615.71</v>
      </c>
      <c r="I234" s="18">
        <f>40510.92-2091.04+1819.87+64+338.63</f>
        <v>40642.379999999997</v>
      </c>
      <c r="J234" s="18">
        <f>11800.4</f>
        <v>11800.4</v>
      </c>
      <c r="K234" s="18">
        <f>1115.5+199</f>
        <v>1314.5</v>
      </c>
      <c r="L234" s="19">
        <f>SUM(F234:K234)</f>
        <v>1068076.5499999998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127307.52+8900</f>
        <v>136207.52000000002</v>
      </c>
      <c r="G235" s="18">
        <v>11903.85</v>
      </c>
      <c r="H235" s="18">
        <f>43964.48-470+3985.8</f>
        <v>47480.280000000006</v>
      </c>
      <c r="I235" s="18">
        <f>20519.87-370+260</f>
        <v>20409.87</v>
      </c>
      <c r="J235" s="18"/>
      <c r="K235" s="18">
        <f>7310</f>
        <v>7310</v>
      </c>
      <c r="L235" s="19">
        <f>SUM(F235:K235)</f>
        <v>223311.52000000002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20452.47+422641.86+74288.83+59264.16+12872.66+6665.36+4338.65</f>
        <v>600523.99</v>
      </c>
      <c r="G237" s="18">
        <f>9334.57+198905.92+27986.92+33728.23+3272.54</f>
        <v>273228.18</v>
      </c>
      <c r="H237" s="18">
        <f>4623.32+2463.24+1875.3+52.64+3.61+3770</f>
        <v>12788.109999999999</v>
      </c>
      <c r="I237" s="18">
        <f>2543.07-48.91+2361.72-181.47+699.96+450.81+89.43+29.97+35</f>
        <v>5979.5800000000008</v>
      </c>
      <c r="J237" s="18"/>
      <c r="K237" s="18">
        <f>300+135</f>
        <v>435</v>
      </c>
      <c r="L237" s="19">
        <f t="shared" ref="L237:L243" si="4">SUM(F237:K237)</f>
        <v>892954.85999999987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85216.6+19932.89+345.65</f>
        <v>105495.14</v>
      </c>
      <c r="G238" s="18">
        <f>64.3+41329</f>
        <v>41393.300000000003</v>
      </c>
      <c r="H238" s="18">
        <f>2431.67+2209.43+805.14+875.23+1760</f>
        <v>8081.4700000000012</v>
      </c>
      <c r="I238" s="18">
        <f>1570.85-74.24+18256.76-148.59+936.92+310.46</f>
        <v>20852.159999999996</v>
      </c>
      <c r="J238" s="18">
        <f>1365.36</f>
        <v>1365.36</v>
      </c>
      <c r="K238" s="18"/>
      <c r="L238" s="19">
        <f t="shared" si="4"/>
        <v>177187.43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90896.8+51.9+2076+1284.35+118157.62+91130.54+59269.27+28039.87+91670.88+17519.66</f>
        <v>500096.88999999996</v>
      </c>
      <c r="G239" s="18">
        <f>274.35+116927.11+140053.93</f>
        <v>257255.39</v>
      </c>
      <c r="H239" s="18">
        <f>3052.02+5414.9+3949.59+2763.85+3179.5+3165.9+166.43+740.64+188.22+2534.7+1280.78+945.61+396*0.346+422.93+192.42+14.78+102.71+4.4+21.12</f>
        <v>28277.516</v>
      </c>
      <c r="I239" s="18">
        <f>2443.55+58.8+1403.1+417.22</f>
        <v>4322.67</v>
      </c>
      <c r="J239" s="18">
        <f>4983.26</f>
        <v>4983.26</v>
      </c>
      <c r="K239" s="18">
        <f>2134.59+2094.77+644.48</f>
        <v>4873.84</v>
      </c>
      <c r="L239" s="19">
        <f t="shared" si="4"/>
        <v>799809.56599999999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391998.92</f>
        <v>391998.92</v>
      </c>
      <c r="G240" s="18">
        <f>202229.7</f>
        <v>202229.7</v>
      </c>
      <c r="H240" s="18">
        <f>6618.25+505.75</f>
        <v>7124</v>
      </c>
      <c r="I240" s="18">
        <f>7159.91-931.85+700</f>
        <v>6928.0599999999995</v>
      </c>
      <c r="J240" s="18">
        <f>6704.11</f>
        <v>6704.11</v>
      </c>
      <c r="K240" s="18">
        <f>18559.78-1317.61+325.62</f>
        <v>17567.789999999997</v>
      </c>
      <c r="L240" s="19">
        <f t="shared" si="4"/>
        <v>632552.58000000007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206788.84+23665.36+52564.85+2788.06</f>
        <v>285807.11</v>
      </c>
      <c r="G242" s="18">
        <f>146397.01+805.55*0.346</f>
        <v>146675.7303</v>
      </c>
      <c r="H242" s="18">
        <f>80497.42-4232.68+10450.25+16962.64+32.3+14306.39+23146.52+1388.58+1636.41+27932.6+6375+2894+1122.29+5075.91+384.14</f>
        <v>187971.77000000002</v>
      </c>
      <c r="I242" s="18">
        <f>203971.46-727.67+21323.58+2819.99+488.76+5262.28-939.32-4322.96+1443.37+198.8</f>
        <v>229518.28999999998</v>
      </c>
      <c r="J242" s="18">
        <f>150.55</f>
        <v>150.55000000000001</v>
      </c>
      <c r="K242" s="18"/>
      <c r="L242" s="19">
        <f t="shared" si="4"/>
        <v>850123.45030000014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176941.08-1200.83+64929.28+80.52</f>
        <v>240750.05</v>
      </c>
      <c r="I243" s="18"/>
      <c r="J243" s="18"/>
      <c r="K243" s="18"/>
      <c r="L243" s="19">
        <f t="shared" si="4"/>
        <v>240750.05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44337.67+102882.43</f>
        <v>147220.09999999998</v>
      </c>
      <c r="G244" s="18">
        <f>20235.85</f>
        <v>20235.849999999999</v>
      </c>
      <c r="H244" s="18">
        <f>93.42+25319.23+332.16+105.6+3505.92</f>
        <v>29356.329999999994</v>
      </c>
      <c r="I244" s="18">
        <f>453.14+2367.06+5168.8</f>
        <v>7989</v>
      </c>
      <c r="J244" s="18">
        <f>5811.97+6496.13+1040.74</f>
        <v>13348.84</v>
      </c>
      <c r="K244" s="18"/>
      <c r="L244" s="19">
        <f>SUM(F244:K244)</f>
        <v>218150.11999999997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6923881.3700000001</v>
      </c>
      <c r="G246" s="41">
        <f t="shared" si="5"/>
        <v>3156389.4503000006</v>
      </c>
      <c r="H246" s="41">
        <f t="shared" si="5"/>
        <v>939873.73600000015</v>
      </c>
      <c r="I246" s="41">
        <f t="shared" si="5"/>
        <v>421486.6</v>
      </c>
      <c r="J246" s="41">
        <f t="shared" si="5"/>
        <v>110337.15</v>
      </c>
      <c r="K246" s="41">
        <f t="shared" si="5"/>
        <v>33846.129999999997</v>
      </c>
      <c r="L246" s="41">
        <f t="shared" si="5"/>
        <v>11585814.436299998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19367036.850000001</v>
      </c>
      <c r="G256" s="41">
        <f t="shared" si="8"/>
        <v>8787868.0700000003</v>
      </c>
      <c r="H256" s="41">
        <f t="shared" si="8"/>
        <v>2290432.77</v>
      </c>
      <c r="I256" s="41">
        <f t="shared" si="8"/>
        <v>1118048.7200000002</v>
      </c>
      <c r="J256" s="41">
        <f t="shared" si="8"/>
        <v>175611.04</v>
      </c>
      <c r="K256" s="41">
        <f t="shared" si="8"/>
        <v>53190.39</v>
      </c>
      <c r="L256" s="41">
        <f t="shared" si="8"/>
        <v>31792187.84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1208069.69</f>
        <v>1208069.69</v>
      </c>
      <c r="L259" s="19">
        <f>SUM(F259:K259)</f>
        <v>1208069.69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483073.64</v>
      </c>
      <c r="L260" s="19">
        <f>SUM(F260:K260)</f>
        <v>483073.64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1691143.33</v>
      </c>
      <c r="L269" s="41">
        <f t="shared" si="9"/>
        <v>1691143.33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19367036.850000001</v>
      </c>
      <c r="G270" s="42">
        <f t="shared" si="11"/>
        <v>8787868.0700000003</v>
      </c>
      <c r="H270" s="42">
        <f t="shared" si="11"/>
        <v>2290432.77</v>
      </c>
      <c r="I270" s="42">
        <f t="shared" si="11"/>
        <v>1118048.7200000002</v>
      </c>
      <c r="J270" s="42">
        <f t="shared" si="11"/>
        <v>175611.04</v>
      </c>
      <c r="K270" s="42">
        <f t="shared" si="11"/>
        <v>1744333.72</v>
      </c>
      <c r="L270" s="42">
        <f t="shared" si="11"/>
        <v>33483331.170000002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42512</f>
        <v>42512</v>
      </c>
      <c r="G275" s="18">
        <f>15820.16</f>
        <v>15820.16</v>
      </c>
      <c r="H275" s="18"/>
      <c r="I275" s="18">
        <f>23000.35</f>
        <v>23000.35</v>
      </c>
      <c r="J275" s="18"/>
      <c r="K275" s="18"/>
      <c r="L275" s="19">
        <f>SUM(F275:K275)</f>
        <v>81332.510000000009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138267.66</f>
        <v>138267.66</v>
      </c>
      <c r="G276" s="18">
        <f>11422.53</f>
        <v>11422.53</v>
      </c>
      <c r="H276" s="18">
        <f>39441.32</f>
        <v>39441.32</v>
      </c>
      <c r="I276" s="18">
        <f>96531.56+1062.96</f>
        <v>97594.52</v>
      </c>
      <c r="J276" s="18">
        <f>3623.61+44533.62</f>
        <v>48157.23</v>
      </c>
      <c r="K276" s="18"/>
      <c r="L276" s="19">
        <f>SUM(F276:K276)</f>
        <v>334883.26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24412+750</f>
        <v>25162</v>
      </c>
      <c r="G278" s="18">
        <f>3736.93</f>
        <v>3736.93</v>
      </c>
      <c r="H278" s="18"/>
      <c r="I278" s="18">
        <f>6306.56-750</f>
        <v>5556.56</v>
      </c>
      <c r="J278" s="18"/>
      <c r="K278" s="18">
        <f>35*2</f>
        <v>70</v>
      </c>
      <c r="L278" s="19">
        <f>SUM(F278:K278)</f>
        <v>34525.49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415.14+161810.54</f>
        <v>162225.68000000002</v>
      </c>
      <c r="G280" s="18">
        <f>31.75+59445.69</f>
        <v>59477.440000000002</v>
      </c>
      <c r="H280" s="18">
        <f>300+5190.46+303.88</f>
        <v>5794.34</v>
      </c>
      <c r="I280" s="18">
        <f>5272.2+447.03</f>
        <v>5719.23</v>
      </c>
      <c r="J280" s="18"/>
      <c r="K280" s="18"/>
      <c r="L280" s="19">
        <f t="shared" ref="L280:L286" si="12">SUM(F280:K280)</f>
        <v>233216.69000000003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14970.49+5058.38</f>
        <v>20028.87</v>
      </c>
      <c r="G281" s="18">
        <f>1482.44+1711.05</f>
        <v>3193.49</v>
      </c>
      <c r="H281" s="18">
        <f>31028.08+3070.2+1950.08</f>
        <v>36048.36</v>
      </c>
      <c r="I281" s="18">
        <f>2960.51</f>
        <v>2960.51</v>
      </c>
      <c r="J281" s="18">
        <f>2164</f>
        <v>2164</v>
      </c>
      <c r="K281" s="18"/>
      <c r="L281" s="19">
        <f t="shared" si="12"/>
        <v>64395.23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63438</f>
        <v>63438</v>
      </c>
      <c r="G282" s="18">
        <f>19977.87</f>
        <v>19977.87</v>
      </c>
      <c r="H282" s="18">
        <f>610.9</f>
        <v>610.9</v>
      </c>
      <c r="I282" s="18"/>
      <c r="J282" s="18"/>
      <c r="K282" s="18"/>
      <c r="L282" s="19">
        <f t="shared" si="12"/>
        <v>84026.76999999999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451634.21</v>
      </c>
      <c r="G289" s="42">
        <f t="shared" si="13"/>
        <v>113628.42</v>
      </c>
      <c r="H289" s="42">
        <f t="shared" si="13"/>
        <v>81894.92</v>
      </c>
      <c r="I289" s="42">
        <f t="shared" si="13"/>
        <v>134831.17000000001</v>
      </c>
      <c r="J289" s="42">
        <f t="shared" si="13"/>
        <v>50321.23</v>
      </c>
      <c r="K289" s="42">
        <f t="shared" si="13"/>
        <v>70</v>
      </c>
      <c r="L289" s="41">
        <f t="shared" si="13"/>
        <v>832379.95000000007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169+15324.9</f>
        <v>15493.9</v>
      </c>
      <c r="G295" s="18">
        <f>12.93+6141.14</f>
        <v>6154.0700000000006</v>
      </c>
      <c r="H295" s="18"/>
      <c r="I295" s="18">
        <f>38885.43+640.91</f>
        <v>39526.340000000004</v>
      </c>
      <c r="J295" s="18">
        <f>2608.3+26851.16</f>
        <v>29459.46</v>
      </c>
      <c r="K295" s="18"/>
      <c r="L295" s="19">
        <f>SUM(F295:K295)</f>
        <v>90633.77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>
        <f>35</f>
        <v>35</v>
      </c>
      <c r="L297" s="19">
        <f>SUM(F297:K297)</f>
        <v>35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250.31+75325.6</f>
        <v>75575.91</v>
      </c>
      <c r="G299" s="18">
        <f>19.15+27673</f>
        <v>27692.15</v>
      </c>
      <c r="H299" s="18">
        <f>3129.54+183.23</f>
        <v>3312.77</v>
      </c>
      <c r="I299" s="18">
        <f>269.53</f>
        <v>269.52999999999997</v>
      </c>
      <c r="J299" s="18"/>
      <c r="K299" s="18"/>
      <c r="L299" s="19">
        <f t="shared" ref="L299:L305" si="14">SUM(F299:K299)</f>
        <v>106850.36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2158+3049.91</f>
        <v>5207.91</v>
      </c>
      <c r="G300" s="18">
        <f>1031.66</f>
        <v>1031.6600000000001</v>
      </c>
      <c r="H300" s="18">
        <f>1851.15+1175.78</f>
        <v>3026.9300000000003</v>
      </c>
      <c r="I300" s="18"/>
      <c r="J300" s="18"/>
      <c r="K300" s="18"/>
      <c r="L300" s="19">
        <f t="shared" si="14"/>
        <v>9266.5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>
        <f>50.85</f>
        <v>50.85</v>
      </c>
      <c r="J301" s="18">
        <f>51.65</f>
        <v>51.65</v>
      </c>
      <c r="K301" s="18"/>
      <c r="L301" s="19">
        <f t="shared" si="14"/>
        <v>102.5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96277.72</v>
      </c>
      <c r="G308" s="42">
        <f t="shared" si="15"/>
        <v>34877.880000000005</v>
      </c>
      <c r="H308" s="42">
        <f t="shared" si="15"/>
        <v>6339.7000000000007</v>
      </c>
      <c r="I308" s="42">
        <f t="shared" si="15"/>
        <v>39846.720000000001</v>
      </c>
      <c r="J308" s="42">
        <f t="shared" si="15"/>
        <v>29511.11</v>
      </c>
      <c r="K308" s="42">
        <f t="shared" si="15"/>
        <v>35</v>
      </c>
      <c r="L308" s="41">
        <f t="shared" si="15"/>
        <v>206888.13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52577.69+30956.55</f>
        <v>83534.240000000005</v>
      </c>
      <c r="G313" s="18">
        <f>9616.55+2850.41</f>
        <v>12466.96</v>
      </c>
      <c r="H313" s="18"/>
      <c r="I313" s="18">
        <f>17.38+2612</f>
        <v>2629.38</v>
      </c>
      <c r="J313" s="18">
        <f>3388</f>
        <v>3388</v>
      </c>
      <c r="K313" s="18"/>
      <c r="L313" s="19">
        <f>SUM(F313:K313)</f>
        <v>102018.58000000002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117935.1</f>
        <v>117935.1</v>
      </c>
      <c r="G314" s="18">
        <f>47260.05</f>
        <v>47260.05</v>
      </c>
      <c r="H314" s="18"/>
      <c r="I314" s="18">
        <f>5037.96+901.43</f>
        <v>5939.39</v>
      </c>
      <c r="J314" s="18">
        <f>37766.26</f>
        <v>37766.26</v>
      </c>
      <c r="K314" s="18"/>
      <c r="L314" s="19">
        <f>SUM(F314:K314)</f>
        <v>208900.80000000005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f>59762</f>
        <v>59762</v>
      </c>
      <c r="G315" s="18">
        <f>26221.19</f>
        <v>26221.19</v>
      </c>
      <c r="H315" s="18"/>
      <c r="I315" s="18">
        <f>6551.92</f>
        <v>6551.92</v>
      </c>
      <c r="J315" s="18">
        <f>18764.4</f>
        <v>18764.400000000001</v>
      </c>
      <c r="K315" s="18"/>
      <c r="L315" s="19">
        <f>SUM(F315:K315)</f>
        <v>111299.51000000001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>
        <f>447</f>
        <v>447</v>
      </c>
      <c r="I316" s="18">
        <f>2724.4</f>
        <v>2724.4</v>
      </c>
      <c r="J316" s="18">
        <f>716+1033.48</f>
        <v>1749.48</v>
      </c>
      <c r="K316" s="18">
        <f>35</f>
        <v>35</v>
      </c>
      <c r="L316" s="19">
        <f>SUM(F316:K316)</f>
        <v>4955.88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2184.38+352.06+41847.56</f>
        <v>44384</v>
      </c>
      <c r="G318" s="18">
        <f>397.56+26.93+15373.89</f>
        <v>15798.38</v>
      </c>
      <c r="H318" s="18">
        <f>6735.82+2762.5+4401.72+257.7</f>
        <v>14157.740000000002</v>
      </c>
      <c r="I318" s="18">
        <f>379.09</f>
        <v>379.09</v>
      </c>
      <c r="J318" s="18"/>
      <c r="K318" s="18"/>
      <c r="L318" s="19">
        <f t="shared" ref="L318:L324" si="16">SUM(F318:K318)</f>
        <v>74719.209999999992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5729+4289.71</f>
        <v>10018.709999999999</v>
      </c>
      <c r="G319" s="18">
        <f>1451.03</f>
        <v>1451.03</v>
      </c>
      <c r="H319" s="18">
        <f>130+2603.65+1653.75</f>
        <v>4387.3999999999996</v>
      </c>
      <c r="I319" s="18"/>
      <c r="J319" s="18"/>
      <c r="K319" s="18"/>
      <c r="L319" s="19">
        <f t="shared" si="16"/>
        <v>15857.14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>
        <f>391.31</f>
        <v>391.31</v>
      </c>
      <c r="J320" s="18">
        <f>397.45</f>
        <v>397.45</v>
      </c>
      <c r="K320" s="18"/>
      <c r="L320" s="19">
        <f t="shared" si="16"/>
        <v>788.76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3269.65+5379.47</f>
        <v>8649.1200000000008</v>
      </c>
      <c r="I324" s="18">
        <f>3799.73</f>
        <v>3799.73</v>
      </c>
      <c r="J324" s="18"/>
      <c r="K324" s="18"/>
      <c r="L324" s="19">
        <f t="shared" si="16"/>
        <v>12448.85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315634.05000000005</v>
      </c>
      <c r="G327" s="42">
        <f t="shared" si="17"/>
        <v>103197.61</v>
      </c>
      <c r="H327" s="42">
        <f t="shared" si="17"/>
        <v>27641.260000000002</v>
      </c>
      <c r="I327" s="42">
        <f t="shared" si="17"/>
        <v>22415.22</v>
      </c>
      <c r="J327" s="42">
        <f t="shared" si="17"/>
        <v>62065.590000000004</v>
      </c>
      <c r="K327" s="42">
        <f t="shared" si="17"/>
        <v>35</v>
      </c>
      <c r="L327" s="41">
        <f t="shared" si="17"/>
        <v>530988.7300000001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4680</f>
        <v>4680</v>
      </c>
      <c r="G332" s="18">
        <f>783.95</f>
        <v>783.95</v>
      </c>
      <c r="H332" s="18"/>
      <c r="I332" s="18">
        <f>1928.34</f>
        <v>1928.34</v>
      </c>
      <c r="J332" s="18"/>
      <c r="K332" s="18"/>
      <c r="L332" s="19">
        <f t="shared" si="18"/>
        <v>7392.29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>
        <f>12880.23</f>
        <v>12880.23</v>
      </c>
      <c r="K335" s="18"/>
      <c r="L335" s="19">
        <f t="shared" si="18"/>
        <v>12880.23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4680</v>
      </c>
      <c r="G336" s="41">
        <f t="shared" si="19"/>
        <v>783.95</v>
      </c>
      <c r="H336" s="41">
        <f t="shared" si="19"/>
        <v>0</v>
      </c>
      <c r="I336" s="41">
        <f t="shared" si="19"/>
        <v>1928.34</v>
      </c>
      <c r="J336" s="41">
        <f t="shared" si="19"/>
        <v>12880.23</v>
      </c>
      <c r="K336" s="41">
        <f t="shared" si="19"/>
        <v>0</v>
      </c>
      <c r="L336" s="41">
        <f t="shared" si="18"/>
        <v>20272.52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868225.9800000001</v>
      </c>
      <c r="G337" s="41">
        <f t="shared" si="20"/>
        <v>252487.86</v>
      </c>
      <c r="H337" s="41">
        <f t="shared" si="20"/>
        <v>115875.88</v>
      </c>
      <c r="I337" s="41">
        <f t="shared" si="20"/>
        <v>199021.45</v>
      </c>
      <c r="J337" s="41">
        <f t="shared" si="20"/>
        <v>154778.16</v>
      </c>
      <c r="K337" s="41">
        <f t="shared" si="20"/>
        <v>140</v>
      </c>
      <c r="L337" s="41">
        <f t="shared" si="20"/>
        <v>1590529.33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868225.9800000001</v>
      </c>
      <c r="G351" s="41">
        <f>G337</f>
        <v>252487.86</v>
      </c>
      <c r="H351" s="41">
        <f>H337</f>
        <v>115875.88</v>
      </c>
      <c r="I351" s="41">
        <f>I337</f>
        <v>199021.45</v>
      </c>
      <c r="J351" s="41">
        <f>J337</f>
        <v>154778.16</v>
      </c>
      <c r="K351" s="47">
        <f>K337+K350</f>
        <v>140</v>
      </c>
      <c r="L351" s="41">
        <f>L337+L350</f>
        <v>1590529.33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132398.8</f>
        <v>132398.79999999999</v>
      </c>
      <c r="G357" s="18">
        <f>23916.05</f>
        <v>23916.05</v>
      </c>
      <c r="H357" s="18">
        <f>2765.31+958.85</f>
        <v>3724.16</v>
      </c>
      <c r="I357" s="18">
        <f>13164.3+140235.02+800</f>
        <v>154199.31999999998</v>
      </c>
      <c r="J357" s="18">
        <f>714.04</f>
        <v>714.04</v>
      </c>
      <c r="K357" s="18">
        <f>66.5+33.25</f>
        <v>99.75</v>
      </c>
      <c r="L357" s="13">
        <f>SUM(F357:K357)</f>
        <v>315052.11999999994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89634.42</f>
        <v>89634.42</v>
      </c>
      <c r="G358" s="18">
        <f>27526.36</f>
        <v>27526.36</v>
      </c>
      <c r="H358" s="18">
        <f>277.4</f>
        <v>277.39999999999998</v>
      </c>
      <c r="I358" s="18">
        <f>7560.12+96530.35</f>
        <v>104090.47</v>
      </c>
      <c r="J358" s="18"/>
      <c r="K358" s="18"/>
      <c r="L358" s="19">
        <f>SUM(F358:K358)</f>
        <v>221528.65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101210.67</f>
        <v>101210.67</v>
      </c>
      <c r="G359" s="18">
        <f>31916.98</f>
        <v>31916.98</v>
      </c>
      <c r="H359" s="18">
        <f>690+150.2</f>
        <v>840.2</v>
      </c>
      <c r="I359" s="18">
        <f>19379.36+153166.76+800</f>
        <v>173346.12</v>
      </c>
      <c r="J359" s="18">
        <f>719.03</f>
        <v>719.03</v>
      </c>
      <c r="K359" s="18">
        <f>35.25</f>
        <v>35.25</v>
      </c>
      <c r="L359" s="19">
        <f>SUM(F359:K359)</f>
        <v>308068.25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323243.88999999996</v>
      </c>
      <c r="G361" s="47">
        <f t="shared" si="22"/>
        <v>83359.39</v>
      </c>
      <c r="H361" s="47">
        <f t="shared" si="22"/>
        <v>4841.76</v>
      </c>
      <c r="I361" s="47">
        <f t="shared" si="22"/>
        <v>431635.91</v>
      </c>
      <c r="J361" s="47">
        <f t="shared" si="22"/>
        <v>1433.07</v>
      </c>
      <c r="K361" s="47">
        <f t="shared" si="22"/>
        <v>135</v>
      </c>
      <c r="L361" s="47">
        <f t="shared" si="22"/>
        <v>844649.0199999999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140235.02</f>
        <v>140235.01999999999</v>
      </c>
      <c r="G366" s="18">
        <f>96530.35</f>
        <v>96530.35</v>
      </c>
      <c r="H366" s="18">
        <f>153166.76</f>
        <v>153166.76</v>
      </c>
      <c r="I366" s="56">
        <f>SUM(F366:H366)</f>
        <v>389932.13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13164.3+800</f>
        <v>13964.3</v>
      </c>
      <c r="G367" s="63">
        <f>7560.12</f>
        <v>7560.12</v>
      </c>
      <c r="H367" s="63">
        <f>19379.36+800</f>
        <v>20179.36</v>
      </c>
      <c r="I367" s="56">
        <f>SUM(F367:H367)</f>
        <v>41703.78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154199.31999999998</v>
      </c>
      <c r="G368" s="47">
        <f>SUM(G366:G367)</f>
        <v>104090.47</v>
      </c>
      <c r="H368" s="47">
        <f>SUM(H366:H367)</f>
        <v>173346.12</v>
      </c>
      <c r="I368" s="47">
        <f>SUM(I366:I367)</f>
        <v>431635.91000000003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238924.69</f>
        <v>238924.69</v>
      </c>
      <c r="I377" s="18"/>
      <c r="J377" s="18"/>
      <c r="K377" s="18"/>
      <c r="L377" s="13">
        <f t="shared" si="23"/>
        <v>238924.69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221.91</v>
      </c>
      <c r="L380" s="13">
        <f t="shared" si="23"/>
        <v>221.91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238924.69</v>
      </c>
      <c r="I381" s="41">
        <f t="shared" si="24"/>
        <v>0</v>
      </c>
      <c r="J381" s="47">
        <f t="shared" si="24"/>
        <v>0</v>
      </c>
      <c r="K381" s="47">
        <f t="shared" si="24"/>
        <v>221.91</v>
      </c>
      <c r="L381" s="47">
        <f t="shared" si="24"/>
        <v>239146.6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1683.92+48.58+42.07+1508.06+60.72+32.57</f>
        <v>3375.92</v>
      </c>
      <c r="I399" s="18">
        <f>1147.08+47.09+36.64+1255.96+2.64+28.37+11017+5000+1790</f>
        <v>20324.78</v>
      </c>
      <c r="J399" s="24" t="s">
        <v>289</v>
      </c>
      <c r="K399" s="24" t="s">
        <v>289</v>
      </c>
      <c r="L399" s="56">
        <f t="shared" si="26"/>
        <v>23700.699999999997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3375.92</v>
      </c>
      <c r="I400" s="47">
        <f>SUM(I394:I399)</f>
        <v>20324.78</v>
      </c>
      <c r="J400" s="45" t="s">
        <v>289</v>
      </c>
      <c r="K400" s="45" t="s">
        <v>289</v>
      </c>
      <c r="L400" s="47">
        <f>SUM(L394:L399)</f>
        <v>23700.699999999997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 t="s">
        <v>910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v>41577.75</v>
      </c>
      <c r="I402" s="18">
        <v>26533.18</v>
      </c>
      <c r="J402" s="24" t="s">
        <v>289</v>
      </c>
      <c r="K402" s="24" t="s">
        <v>289</v>
      </c>
      <c r="L402" s="56">
        <f>SUM(F402:K402)</f>
        <v>68110.929999999993</v>
      </c>
      <c r="M402" s="8"/>
    </row>
    <row r="403" spans="1:21" s="3" customFormat="1" ht="12" customHeight="1">
      <c r="A403" s="110" t="s">
        <v>911</v>
      </c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>
        <v>9216.99</v>
      </c>
      <c r="I403" s="18">
        <v>42359.72</v>
      </c>
      <c r="J403" s="24" t="s">
        <v>289</v>
      </c>
      <c r="K403" s="24" t="s">
        <v>289</v>
      </c>
      <c r="L403" s="56">
        <f>SUM(F403:K403)</f>
        <v>51576.71</v>
      </c>
      <c r="M403" s="8"/>
    </row>
    <row r="404" spans="1:21" s="3" customFormat="1" ht="12" customHeight="1">
      <c r="A404" s="110" t="s">
        <v>912</v>
      </c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>
        <v>7858.07</v>
      </c>
      <c r="I404" s="18">
        <v>6844.98</v>
      </c>
      <c r="J404" s="24" t="s">
        <v>289</v>
      </c>
      <c r="K404" s="24" t="s">
        <v>289</v>
      </c>
      <c r="L404" s="56">
        <f>SUM(F404:K404)</f>
        <v>14703.05</v>
      </c>
      <c r="M404" s="8"/>
    </row>
    <row r="405" spans="1:21" s="3" customFormat="1" ht="12" customHeight="1" thickBot="1">
      <c r="A405" s="110" t="s">
        <v>913</v>
      </c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>
        <f>370.31+571.96+7527.58+3391.38+885.08+661.53</f>
        <v>13407.84</v>
      </c>
      <c r="I405" s="18">
        <f>322.55+498.21+6557.1+2828.94+770.97+576.26</f>
        <v>11554.03</v>
      </c>
      <c r="J405" s="24" t="s">
        <v>289</v>
      </c>
      <c r="K405" s="24" t="s">
        <v>289</v>
      </c>
      <c r="L405" s="56">
        <f>SUM(F405:K405)</f>
        <v>24961.870000000003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72060.649999999994</v>
      </c>
      <c r="I406" s="47">
        <f>SUM(I402:I405)</f>
        <v>87291.909999999989</v>
      </c>
      <c r="J406" s="49" t="s">
        <v>289</v>
      </c>
      <c r="K406" s="49" t="s">
        <v>289</v>
      </c>
      <c r="L406" s="47">
        <f>SUM(L402:L405)</f>
        <v>159352.55999999997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75436.569999999992</v>
      </c>
      <c r="I407" s="47">
        <f>I392+I400+I406</f>
        <v>107616.68999999999</v>
      </c>
      <c r="J407" s="24" t="s">
        <v>289</v>
      </c>
      <c r="K407" s="24" t="s">
        <v>289</v>
      </c>
      <c r="L407" s="47">
        <f>L392+L400+L406</f>
        <v>183053.25999999995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f>600+500+1500</f>
        <v>2600</v>
      </c>
      <c r="I425" s="18"/>
      <c r="J425" s="18"/>
      <c r="K425" s="18"/>
      <c r="L425" s="56">
        <f t="shared" si="29"/>
        <v>2600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2600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2600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 t="s">
        <v>910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>
        <f>1921.55</f>
        <v>1921.55</v>
      </c>
      <c r="J428" s="18">
        <f>13433.48</f>
        <v>13433.48</v>
      </c>
      <c r="K428" s="18">
        <v>30000</v>
      </c>
      <c r="L428" s="56">
        <f>SUM(F428:K428)</f>
        <v>45355.03</v>
      </c>
      <c r="M428" s="68"/>
    </row>
    <row r="429" spans="1:21" s="58" customFormat="1" ht="12" customHeight="1">
      <c r="A429" s="110" t="s">
        <v>911</v>
      </c>
      <c r="B429" s="6">
        <v>17</v>
      </c>
      <c r="C429" s="6">
        <v>16</v>
      </c>
      <c r="D429" s="2" t="s">
        <v>433</v>
      </c>
      <c r="E429" s="6"/>
      <c r="F429" s="18"/>
      <c r="G429" s="18"/>
      <c r="H429" s="18">
        <v>500</v>
      </c>
      <c r="I429" s="18"/>
      <c r="J429" s="18"/>
      <c r="K429" s="18">
        <v>5000</v>
      </c>
      <c r="L429" s="56">
        <f>SUM(F429:K429)</f>
        <v>5500</v>
      </c>
      <c r="M429" s="68"/>
    </row>
    <row r="430" spans="1:21" ht="12" customHeight="1">
      <c r="A430" s="110" t="s">
        <v>912</v>
      </c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 t="s">
        <v>913</v>
      </c>
      <c r="B431" s="6">
        <v>17</v>
      </c>
      <c r="C431" s="6">
        <v>18</v>
      </c>
      <c r="D431" s="2" t="s">
        <v>433</v>
      </c>
      <c r="E431" s="6"/>
      <c r="F431" s="18"/>
      <c r="G431" s="18"/>
      <c r="H431" s="18">
        <f>750+4500+230</f>
        <v>5480</v>
      </c>
      <c r="I431" s="18">
        <v>300</v>
      </c>
      <c r="J431" s="18">
        <v>3000</v>
      </c>
      <c r="K431" s="18"/>
      <c r="L431" s="56">
        <f>SUM(F431:K431)</f>
        <v>8780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5980</v>
      </c>
      <c r="I432" s="47">
        <f t="shared" si="31"/>
        <v>2221.5500000000002</v>
      </c>
      <c r="J432" s="47">
        <f t="shared" si="31"/>
        <v>16433.48</v>
      </c>
      <c r="K432" s="47">
        <f t="shared" si="31"/>
        <v>35000</v>
      </c>
      <c r="L432" s="47">
        <f t="shared" si="31"/>
        <v>59635.03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8580</v>
      </c>
      <c r="I433" s="47">
        <f t="shared" si="32"/>
        <v>2221.5500000000002</v>
      </c>
      <c r="J433" s="47">
        <f t="shared" si="32"/>
        <v>16433.48</v>
      </c>
      <c r="K433" s="47">
        <f t="shared" si="32"/>
        <v>35000</v>
      </c>
      <c r="L433" s="47">
        <f t="shared" si="32"/>
        <v>62235.03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f>1230.05+61157.41+50614.37+1589.37+209.76+2007.39+4500</f>
        <v>121308.35</v>
      </c>
      <c r="H441" s="18">
        <f>2627395.81-121308.35</f>
        <v>2506087.46</v>
      </c>
      <c r="I441" s="56">
        <f t="shared" si="33"/>
        <v>2627395.81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121308.35</v>
      </c>
      <c r="H445" s="13">
        <f>SUM(H438:H444)</f>
        <v>2506087.46</v>
      </c>
      <c r="I445" s="13">
        <f>SUM(I438:I444)</f>
        <v>2627395.81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>
        <f>61157.41</f>
        <v>61157.41</v>
      </c>
      <c r="H455" s="18"/>
      <c r="I455" s="56">
        <f t="shared" si="34"/>
        <v>61157.41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f>60146.57</f>
        <v>60146.57</v>
      </c>
      <c r="H456" s="18">
        <f>2355030.66</f>
        <v>2355030.66</v>
      </c>
      <c r="I456" s="56">
        <f t="shared" si="34"/>
        <v>2415177.23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>
        <v>4.37</v>
      </c>
      <c r="H457" s="18">
        <f>151056.8</f>
        <v>151056.79999999999</v>
      </c>
      <c r="I457" s="56">
        <f t="shared" si="34"/>
        <v>151061.16999999998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121308.35</v>
      </c>
      <c r="H459" s="83">
        <f>SUM(H453:H458)</f>
        <v>2506087.46</v>
      </c>
      <c r="I459" s="83">
        <f>SUM(I453:I458)</f>
        <v>2627395.81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121308.35</v>
      </c>
      <c r="H460" s="42">
        <f>H451+H459</f>
        <v>2506087.46</v>
      </c>
      <c r="I460" s="42">
        <f>I451+I459</f>
        <v>2627395.81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1422128.26</v>
      </c>
      <c r="G464" s="18">
        <f>106572.36</f>
        <v>106572.36</v>
      </c>
      <c r="H464" s="18">
        <f>94869.46-4812.15</f>
        <v>90057.310000000012</v>
      </c>
      <c r="I464" s="18">
        <v>239146.6</v>
      </c>
      <c r="J464" s="18">
        <v>2506577.58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32897320.62+11420.13</f>
        <v>32908740.75</v>
      </c>
      <c r="G467" s="18">
        <f>837055.35</f>
        <v>837055.35</v>
      </c>
      <c r="H467" s="18">
        <f>82685+1487493.96</f>
        <v>1570178.96</v>
      </c>
      <c r="I467" s="18">
        <v>0</v>
      </c>
      <c r="J467" s="18">
        <v>183053.26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32908740.75</v>
      </c>
      <c r="G469" s="53">
        <f>SUM(G467:G468)</f>
        <v>837055.35</v>
      </c>
      <c r="H469" s="53">
        <f>SUM(H467:H468)</f>
        <v>1570178.96</v>
      </c>
      <c r="I469" s="53">
        <f>SUM(I467:I468)</f>
        <v>0</v>
      </c>
      <c r="J469" s="53">
        <f>SUM(J467:J468)</f>
        <v>183053.26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33369608.19-177607.25+338058.65-41203.6-5524.82</f>
        <v>33483331.169999998</v>
      </c>
      <c r="G471" s="18">
        <f>844649.02</f>
        <v>844649.02</v>
      </c>
      <c r="H471" s="18">
        <f>74790.47+1515738.86</f>
        <v>1590529.33</v>
      </c>
      <c r="I471" s="18">
        <f>238924.69+221.91</f>
        <v>239146.6</v>
      </c>
      <c r="J471" s="18">
        <v>62235.03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33483331.169999998</v>
      </c>
      <c r="G473" s="53">
        <f>SUM(G471:G472)</f>
        <v>844649.02</v>
      </c>
      <c r="H473" s="53">
        <f>SUM(H471:H472)</f>
        <v>1590529.33</v>
      </c>
      <c r="I473" s="53">
        <f>SUM(I471:I472)</f>
        <v>239146.6</v>
      </c>
      <c r="J473" s="53">
        <f>SUM(J471:J472)</f>
        <v>62235.03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847537.83999999985</v>
      </c>
      <c r="G475" s="53">
        <f>(G464+G469)- G473</f>
        <v>98978.689999999944</v>
      </c>
      <c r="H475" s="53">
        <f>(H464+H469)- H473</f>
        <v>69706.939999999944</v>
      </c>
      <c r="I475" s="53">
        <f>(I464+I469)- I473</f>
        <v>0</v>
      </c>
      <c r="J475" s="53">
        <f>(J464+J469)- J473</f>
        <v>2627395.81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20</v>
      </c>
      <c r="H489" s="154">
        <v>20</v>
      </c>
      <c r="I489" s="154">
        <v>20</v>
      </c>
      <c r="J489" s="154">
        <v>5</v>
      </c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914</v>
      </c>
      <c r="G490" s="155" t="s">
        <v>916</v>
      </c>
      <c r="H490" s="155" t="s">
        <v>918</v>
      </c>
      <c r="I490" s="155" t="s">
        <v>923</v>
      </c>
      <c r="J490" s="155" t="s">
        <v>921</v>
      </c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915</v>
      </c>
      <c r="G491" s="155" t="s">
        <v>917</v>
      </c>
      <c r="H491" s="155" t="s">
        <v>919</v>
      </c>
      <c r="I491" s="155" t="s">
        <v>920</v>
      </c>
      <c r="J491" s="155" t="s">
        <v>922</v>
      </c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1292240</v>
      </c>
      <c r="G492" s="18">
        <v>4393500</v>
      </c>
      <c r="H492" s="18">
        <v>5150000</v>
      </c>
      <c r="I492" s="18">
        <v>10895000</v>
      </c>
      <c r="J492" s="18">
        <v>438009</v>
      </c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4.62</v>
      </c>
      <c r="G493" s="18">
        <v>4.43</v>
      </c>
      <c r="H493" s="18">
        <v>6.65</v>
      </c>
      <c r="I493" s="18">
        <v>5.58</v>
      </c>
      <c r="J493" s="18">
        <v>2.56</v>
      </c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165000</v>
      </c>
      <c r="G494" s="18">
        <v>3735000</v>
      </c>
      <c r="H494" s="18">
        <v>255000</v>
      </c>
      <c r="I494" s="18">
        <v>4900000</v>
      </c>
      <c r="J494" s="18">
        <v>438009</v>
      </c>
      <c r="K494" s="53">
        <f>SUM(F494:J494)</f>
        <v>9493009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85000</v>
      </c>
      <c r="G496" s="18">
        <v>220000</v>
      </c>
      <c r="H496" s="18">
        <v>255000</v>
      </c>
      <c r="I496" s="18">
        <v>545000</v>
      </c>
      <c r="J496" s="18">
        <v>0</v>
      </c>
      <c r="K496" s="53">
        <f t="shared" si="35"/>
        <v>1105000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80000</v>
      </c>
      <c r="G497" s="205">
        <v>3515000</v>
      </c>
      <c r="H497" s="205">
        <v>0</v>
      </c>
      <c r="I497" s="205">
        <v>4355000</v>
      </c>
      <c r="J497" s="205">
        <v>256329</v>
      </c>
      <c r="K497" s="206">
        <f t="shared" si="35"/>
        <v>8206329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3930</v>
      </c>
      <c r="G498" s="18">
        <v>1305500</v>
      </c>
      <c r="H498" s="18">
        <v>0</v>
      </c>
      <c r="I498" s="18">
        <v>1109091</v>
      </c>
      <c r="J498" s="18">
        <v>12378</v>
      </c>
      <c r="K498" s="53">
        <f t="shared" si="35"/>
        <v>2430899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83930</v>
      </c>
      <c r="G499" s="42">
        <f>SUM(G497:G498)</f>
        <v>4820500</v>
      </c>
      <c r="H499" s="42">
        <f>SUM(H497:H498)</f>
        <v>0</v>
      </c>
      <c r="I499" s="42">
        <f>SUM(I497:I498)</f>
        <v>5464091</v>
      </c>
      <c r="J499" s="42">
        <f>SUM(J497:J498)</f>
        <v>268707</v>
      </c>
      <c r="K499" s="42">
        <f t="shared" si="35"/>
        <v>10637228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80000</v>
      </c>
      <c r="G500" s="205">
        <v>220000</v>
      </c>
      <c r="H500" s="205">
        <v>0</v>
      </c>
      <c r="I500" s="205">
        <v>545000</v>
      </c>
      <c r="J500" s="205">
        <v>94355</v>
      </c>
      <c r="K500" s="206">
        <f t="shared" si="35"/>
        <v>939355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3930</v>
      </c>
      <c r="G501" s="18">
        <v>160656</v>
      </c>
      <c r="H501" s="18">
        <v>0</v>
      </c>
      <c r="I501" s="18">
        <v>244826</v>
      </c>
      <c r="J501" s="18">
        <v>6562</v>
      </c>
      <c r="K501" s="53">
        <f t="shared" si="35"/>
        <v>415974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83930</v>
      </c>
      <c r="G502" s="42">
        <f>SUM(G500:G501)</f>
        <v>380656</v>
      </c>
      <c r="H502" s="42">
        <f>SUM(H500:H501)</f>
        <v>0</v>
      </c>
      <c r="I502" s="42">
        <f>SUM(I500:I501)</f>
        <v>789826</v>
      </c>
      <c r="J502" s="42">
        <f>SUM(J500:J501)</f>
        <v>100917</v>
      </c>
      <c r="K502" s="42">
        <f t="shared" si="35"/>
        <v>1355329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1011536.4</v>
      </c>
      <c r="G506" s="144">
        <v>58309.64</v>
      </c>
      <c r="H506" s="144"/>
      <c r="I506" s="144">
        <f>F506+G506</f>
        <v>1069846.04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1430562+138267.66-236876.88</f>
        <v>1331952.7799999998</v>
      </c>
      <c r="G520" s="18">
        <f>599687.7+11422.53-36619.77</f>
        <v>574490.46</v>
      </c>
      <c r="H520" s="18">
        <f>32575.68+39441.32-71080.3</f>
        <v>936.69999999999709</v>
      </c>
      <c r="I520" s="18">
        <f>5420.65+97594.52-28849.48</f>
        <v>74165.69</v>
      </c>
      <c r="J520" s="18">
        <f>31.26+48157.23-2164</f>
        <v>46024.490000000005</v>
      </c>
      <c r="K520" s="18"/>
      <c r="L520" s="88">
        <f>SUM(F520:K520)</f>
        <v>2027570.1199999996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807516.52+15493.9-169</f>
        <v>822841.42</v>
      </c>
      <c r="G521" s="18">
        <f>346755.31+6154.07-12.93</f>
        <v>352896.45</v>
      </c>
      <c r="H521" s="18">
        <f>28568.34</f>
        <v>28568.34</v>
      </c>
      <c r="I521" s="18">
        <f>9152.44+39526.34</f>
        <v>48678.78</v>
      </c>
      <c r="J521" s="18">
        <f>168.36+29459.46</f>
        <v>29627.82</v>
      </c>
      <c r="K521" s="18"/>
      <c r="L521" s="88">
        <f>SUM(F521:K521)</f>
        <v>1282612.8100000003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900167.27+117935.1</f>
        <v>1018102.37</v>
      </c>
      <c r="G522" s="18">
        <f>385891.32+47260.05</f>
        <v>433151.37</v>
      </c>
      <c r="H522" s="18">
        <f>357569.73</f>
        <v>357569.73</v>
      </c>
      <c r="I522" s="18">
        <f>9185.58+5939.39</f>
        <v>15124.970000000001</v>
      </c>
      <c r="J522" s="18">
        <f>21553.73+37766.26</f>
        <v>59319.990000000005</v>
      </c>
      <c r="K522" s="18"/>
      <c r="L522" s="88">
        <f>SUM(F522:K522)</f>
        <v>1883268.43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3172896.57</v>
      </c>
      <c r="G523" s="108">
        <f t="shared" ref="G523:L523" si="36">SUM(G520:G522)</f>
        <v>1360538.2799999998</v>
      </c>
      <c r="H523" s="108">
        <f t="shared" si="36"/>
        <v>387074.76999999996</v>
      </c>
      <c r="I523" s="108">
        <f t="shared" si="36"/>
        <v>137969.44</v>
      </c>
      <c r="J523" s="108">
        <f t="shared" si="36"/>
        <v>134972.29999999999</v>
      </c>
      <c r="K523" s="108">
        <f t="shared" si="36"/>
        <v>0</v>
      </c>
      <c r="L523" s="89">
        <f t="shared" si="36"/>
        <v>5193451.3599999994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423602.83+161810.54</f>
        <v>585413.37</v>
      </c>
      <c r="G525" s="18">
        <f>59445.69+185561.32</f>
        <v>245007.01</v>
      </c>
      <c r="H525" s="18">
        <f>6119.4+203.5+103.6+8444.8</f>
        <v>14871.3</v>
      </c>
      <c r="I525" s="18">
        <f>2284.08+1471.05+345.8+859.16</f>
        <v>4960.09</v>
      </c>
      <c r="J525" s="18"/>
      <c r="K525" s="18"/>
      <c r="L525" s="88">
        <f>SUM(F525:K525)</f>
        <v>850251.77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149087.35+75325.6</f>
        <v>224412.95</v>
      </c>
      <c r="G526" s="18">
        <f>27673+65728.15</f>
        <v>93401.15</v>
      </c>
      <c r="H526" s="18">
        <f>1875.3+94.73+13.25+2865.2</f>
        <v>4848.4799999999996</v>
      </c>
      <c r="I526" s="18">
        <f>699.96+450.81+160.97+109.89</f>
        <v>1421.63</v>
      </c>
      <c r="J526" s="18"/>
      <c r="K526" s="18"/>
      <c r="L526" s="88">
        <f>SUM(F526:K526)</f>
        <v>324084.20999999996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83140.83+41847.56</f>
        <v>124988.39</v>
      </c>
      <c r="G527" s="18">
        <f>15373.89+37827.66</f>
        <v>53201.55</v>
      </c>
      <c r="H527" s="18">
        <f>1875.3+52.64+3.61+3770</f>
        <v>5701.55</v>
      </c>
      <c r="I527" s="18">
        <f>699.96+450.81+89.43+29.97</f>
        <v>1270.17</v>
      </c>
      <c r="J527" s="18"/>
      <c r="K527" s="18"/>
      <c r="L527" s="88">
        <f>SUM(F527:K527)</f>
        <v>185161.66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934814.71000000008</v>
      </c>
      <c r="G528" s="89">
        <f t="shared" ref="G528:L528" si="37">SUM(G525:G527)</f>
        <v>391609.71</v>
      </c>
      <c r="H528" s="89">
        <f t="shared" si="37"/>
        <v>25421.329999999998</v>
      </c>
      <c r="I528" s="89">
        <f t="shared" si="37"/>
        <v>7651.89</v>
      </c>
      <c r="J528" s="89">
        <f t="shared" si="37"/>
        <v>0</v>
      </c>
      <c r="K528" s="89">
        <f t="shared" si="37"/>
        <v>0</v>
      </c>
      <c r="L528" s="89">
        <f t="shared" si="37"/>
        <v>1359497.64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113636.2</f>
        <v>113636.2</v>
      </c>
      <c r="G530" s="18">
        <f>243166.81*113636.2/459805.03</f>
        <v>60096.237430290828</v>
      </c>
      <c r="H530" s="18">
        <f>1666.99</f>
        <v>1666.99</v>
      </c>
      <c r="I530" s="18">
        <f>1826.18</f>
        <v>1826.18</v>
      </c>
      <c r="J530" s="18"/>
      <c r="K530" s="18">
        <f>838.8</f>
        <v>838.8</v>
      </c>
      <c r="L530" s="88">
        <f>SUM(F530:K530)</f>
        <v>178064.4074302908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67698.17</f>
        <v>67698.17</v>
      </c>
      <c r="G531" s="18">
        <f>157900.27*67698.17/311052.09</f>
        <v>34365.817382888825</v>
      </c>
      <c r="H531" s="18">
        <f>993.1</f>
        <v>993.1</v>
      </c>
      <c r="I531" s="18">
        <f>1087.94</f>
        <v>1087.94</v>
      </c>
      <c r="J531" s="18"/>
      <c r="K531" s="18">
        <f>499.72</f>
        <v>499.72</v>
      </c>
      <c r="L531" s="88">
        <f>SUM(F531:K531)</f>
        <v>104644.74738288883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87309.14</f>
        <v>87309.14</v>
      </c>
      <c r="G532" s="18">
        <f>257255.39*87309.14/500096.89</f>
        <v>44912.790521981857</v>
      </c>
      <c r="H532" s="18">
        <f>1280.78</f>
        <v>1280.78</v>
      </c>
      <c r="I532" s="18">
        <f>1403.1</f>
        <v>1403.1</v>
      </c>
      <c r="J532" s="18"/>
      <c r="K532" s="18">
        <f>644.48</f>
        <v>644.48</v>
      </c>
      <c r="L532" s="88">
        <f>SUM(F532:K532)</f>
        <v>135550.29052198186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268643.51</v>
      </c>
      <c r="G533" s="89">
        <f t="shared" ref="G533:L533" si="38">SUM(G530:G532)</f>
        <v>139374.84533516152</v>
      </c>
      <c r="H533" s="89">
        <f t="shared" si="38"/>
        <v>3940.87</v>
      </c>
      <c r="I533" s="89">
        <f t="shared" si="38"/>
        <v>4317.2199999999993</v>
      </c>
      <c r="J533" s="89">
        <f t="shared" si="38"/>
        <v>0</v>
      </c>
      <c r="K533" s="89">
        <f t="shared" si="38"/>
        <v>1983</v>
      </c>
      <c r="L533" s="89">
        <f t="shared" si="38"/>
        <v>418259.44533516152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4243.5*0.408</f>
        <v>1731.348</v>
      </c>
      <c r="I535" s="18"/>
      <c r="J535" s="18"/>
      <c r="K535" s="18"/>
      <c r="L535" s="88">
        <f>SUM(F535:K535)</f>
        <v>1731.348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f>4243.5*0.246</f>
        <v>1043.9010000000001</v>
      </c>
      <c r="I536" s="18"/>
      <c r="J536" s="18"/>
      <c r="K536" s="18"/>
      <c r="L536" s="88">
        <f>SUM(F536:K536)</f>
        <v>1043.9010000000001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4243.5*0.346</f>
        <v>1468.251</v>
      </c>
      <c r="I537" s="18"/>
      <c r="J537" s="18"/>
      <c r="K537" s="18"/>
      <c r="L537" s="88">
        <f>SUM(F537:K537)</f>
        <v>1468.251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4243.5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4243.5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94329.32</f>
        <v>94329.32</v>
      </c>
      <c r="I540" s="18"/>
      <c r="J540" s="18"/>
      <c r="K540" s="18"/>
      <c r="L540" s="88">
        <f>SUM(F540:K540)</f>
        <v>94329.32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24739.25</f>
        <v>24739.25</v>
      </c>
      <c r="I541" s="18"/>
      <c r="J541" s="18"/>
      <c r="K541" s="18"/>
      <c r="L541" s="88">
        <f>SUM(F541:K541)</f>
        <v>24739.25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82858.84</f>
        <v>82858.84</v>
      </c>
      <c r="I542" s="18"/>
      <c r="J542" s="18"/>
      <c r="K542" s="18"/>
      <c r="L542" s="88">
        <f>SUM(F542:K542)</f>
        <v>82858.84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201927.41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201927.41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4376354.79</v>
      </c>
      <c r="G544" s="89">
        <f t="shared" ref="G544:L544" si="41">G523+G528+G533+G538+G543</f>
        <v>1891522.8353351613</v>
      </c>
      <c r="H544" s="89">
        <f t="shared" si="41"/>
        <v>622607.88</v>
      </c>
      <c r="I544" s="89">
        <f t="shared" si="41"/>
        <v>149938.55000000002</v>
      </c>
      <c r="J544" s="89">
        <f t="shared" si="41"/>
        <v>134972.29999999999</v>
      </c>
      <c r="K544" s="89">
        <f t="shared" si="41"/>
        <v>1983</v>
      </c>
      <c r="L544" s="89">
        <f t="shared" si="41"/>
        <v>7177379.3553351611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2027570.1199999996</v>
      </c>
      <c r="G548" s="87">
        <f>L525</f>
        <v>850251.77</v>
      </c>
      <c r="H548" s="87">
        <f>L530</f>
        <v>178064.4074302908</v>
      </c>
      <c r="I548" s="87">
        <f>L535</f>
        <v>1731.348</v>
      </c>
      <c r="J548" s="87">
        <f>L540</f>
        <v>94329.32</v>
      </c>
      <c r="K548" s="87">
        <f>SUM(F548:J548)</f>
        <v>3151946.9654302904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1282612.8100000003</v>
      </c>
      <c r="G549" s="87">
        <f>L526</f>
        <v>324084.20999999996</v>
      </c>
      <c r="H549" s="87">
        <f>L531</f>
        <v>104644.74738288883</v>
      </c>
      <c r="I549" s="87">
        <f>L536</f>
        <v>1043.9010000000001</v>
      </c>
      <c r="J549" s="87">
        <f>L541</f>
        <v>24739.25</v>
      </c>
      <c r="K549" s="87">
        <f>SUM(F549:J549)</f>
        <v>1737124.9183828891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1883268.43</v>
      </c>
      <c r="G550" s="87">
        <f>L527</f>
        <v>185161.66</v>
      </c>
      <c r="H550" s="87">
        <f>L532</f>
        <v>135550.29052198186</v>
      </c>
      <c r="I550" s="87">
        <f>L537</f>
        <v>1468.251</v>
      </c>
      <c r="J550" s="87">
        <f>L542</f>
        <v>82858.84</v>
      </c>
      <c r="K550" s="87">
        <f>SUM(F550:J550)</f>
        <v>2288307.4715219815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5193451.3599999994</v>
      </c>
      <c r="G551" s="89">
        <f t="shared" si="42"/>
        <v>1359497.64</v>
      </c>
      <c r="H551" s="89">
        <f t="shared" si="42"/>
        <v>418259.44533516152</v>
      </c>
      <c r="I551" s="89">
        <f t="shared" si="42"/>
        <v>4243.5</v>
      </c>
      <c r="J551" s="89">
        <f t="shared" si="42"/>
        <v>201927.41</v>
      </c>
      <c r="K551" s="89">
        <f t="shared" si="42"/>
        <v>7177379.3553351611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f>23094.92+199550.04+9352+4879.92</f>
        <v>236876.88000000003</v>
      </c>
      <c r="G556" s="18">
        <f>3553.6+30786.09+1468.99+811.09</f>
        <v>36619.769999999997</v>
      </c>
      <c r="H556" s="18">
        <f>9580+39266.32+10258.98+5400+5400+175+1000</f>
        <v>71080.3</v>
      </c>
      <c r="I556" s="18">
        <f>4415.5+5889.94+18279.04+265</f>
        <v>28849.48</v>
      </c>
      <c r="J556" s="18">
        <f>2164</f>
        <v>2164</v>
      </c>
      <c r="K556" s="18"/>
      <c r="L556" s="88">
        <f>SUM(F556:K556)</f>
        <v>375590.43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f>169</f>
        <v>169</v>
      </c>
      <c r="G557" s="18">
        <f>12.93</f>
        <v>12.93</v>
      </c>
      <c r="H557" s="18"/>
      <c r="I557" s="18"/>
      <c r="J557" s="18"/>
      <c r="K557" s="18"/>
      <c r="L557" s="88">
        <f>SUM(F557:K557)</f>
        <v>181.93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237045.88000000003</v>
      </c>
      <c r="G559" s="108">
        <f t="shared" si="43"/>
        <v>36632.699999999997</v>
      </c>
      <c r="H559" s="108">
        <f t="shared" si="43"/>
        <v>71080.3</v>
      </c>
      <c r="I559" s="108">
        <f t="shared" si="43"/>
        <v>28849.48</v>
      </c>
      <c r="J559" s="108">
        <f t="shared" si="43"/>
        <v>2164</v>
      </c>
      <c r="K559" s="108">
        <f t="shared" si="43"/>
        <v>0</v>
      </c>
      <c r="L559" s="89">
        <f t="shared" si="43"/>
        <v>375772.36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22628.5+6954.97</f>
        <v>29583.47</v>
      </c>
      <c r="G561" s="18">
        <f>(29919.61+1304.02)*0.408</f>
        <v>12739.241039999999</v>
      </c>
      <c r="H561" s="18"/>
      <c r="I561" s="18">
        <f>-16.7+1300.76+(341.51+500+188.72)*0.408</f>
        <v>1704.39384</v>
      </c>
      <c r="J561" s="18"/>
      <c r="K561" s="18"/>
      <c r="L561" s="88">
        <f>SUM(F561:K561)</f>
        <v>44027.104879999999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13643.65+4193.44</f>
        <v>17837.09</v>
      </c>
      <c r="G562" s="18">
        <f>(29919.61+1304.02)*0.246</f>
        <v>7681.0129800000004</v>
      </c>
      <c r="H562" s="18"/>
      <c r="I562" s="18">
        <f>-10.06+725.42+(341.51+500+188.72)*0.246</f>
        <v>968.79657999999995</v>
      </c>
      <c r="J562" s="18"/>
      <c r="K562" s="18"/>
      <c r="L562" s="88">
        <f>SUM(F562:K562)</f>
        <v>26486.899559999998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19189.85+5898.09</f>
        <v>25087.94</v>
      </c>
      <c r="G563" s="18">
        <f>(29919.61+1304.02)*0.346</f>
        <v>10803.375979999999</v>
      </c>
      <c r="H563" s="18"/>
      <c r="I563" s="18">
        <f>-14.15+1100.64+(341.51+500+188.72)*0.346</f>
        <v>1442.94958</v>
      </c>
      <c r="J563" s="18"/>
      <c r="K563" s="18"/>
      <c r="L563" s="88">
        <f>SUM(F563:K563)</f>
        <v>37334.26556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72508.5</v>
      </c>
      <c r="G564" s="89">
        <f t="shared" si="44"/>
        <v>31223.629999999997</v>
      </c>
      <c r="H564" s="89">
        <f t="shared" si="44"/>
        <v>0</v>
      </c>
      <c r="I564" s="89">
        <f t="shared" si="44"/>
        <v>4116.1399999999994</v>
      </c>
      <c r="J564" s="89">
        <f t="shared" si="44"/>
        <v>0</v>
      </c>
      <c r="K564" s="89">
        <f t="shared" si="44"/>
        <v>0</v>
      </c>
      <c r="L564" s="89">
        <f t="shared" si="44"/>
        <v>107848.26999999999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f>67755+400</f>
        <v>68155</v>
      </c>
      <c r="G566" s="18">
        <f>20903.69</f>
        <v>20903.689999999999</v>
      </c>
      <c r="H566" s="18"/>
      <c r="I566" s="18">
        <f>481.03</f>
        <v>481.03</v>
      </c>
      <c r="J566" s="18"/>
      <c r="K566" s="18">
        <f>242.5</f>
        <v>242.5</v>
      </c>
      <c r="L566" s="88">
        <f>SUM(F566:K566)</f>
        <v>89782.22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f>1800</f>
        <v>1800</v>
      </c>
      <c r="G567" s="18">
        <f>341.1</f>
        <v>341.1</v>
      </c>
      <c r="H567" s="18"/>
      <c r="I567" s="18">
        <f>4408.1-590</f>
        <v>3818.1000000000004</v>
      </c>
      <c r="J567" s="18"/>
      <c r="K567" s="18">
        <f>590</f>
        <v>590</v>
      </c>
      <c r="L567" s="88">
        <f>SUM(F567:K567)</f>
        <v>6549.2000000000007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69955</v>
      </c>
      <c r="G569" s="194">
        <f t="shared" ref="G569:L569" si="45">SUM(G566:G568)</f>
        <v>21244.789999999997</v>
      </c>
      <c r="H569" s="194">
        <f t="shared" si="45"/>
        <v>0</v>
      </c>
      <c r="I569" s="194">
        <f t="shared" si="45"/>
        <v>4299.13</v>
      </c>
      <c r="J569" s="194">
        <f t="shared" si="45"/>
        <v>0</v>
      </c>
      <c r="K569" s="194">
        <f t="shared" si="45"/>
        <v>832.5</v>
      </c>
      <c r="L569" s="194">
        <f t="shared" si="45"/>
        <v>96331.42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379509.38</v>
      </c>
      <c r="G570" s="89">
        <f t="shared" ref="G570:L570" si="46">G559+G564+G569</f>
        <v>89101.119999999981</v>
      </c>
      <c r="H570" s="89">
        <f t="shared" si="46"/>
        <v>71080.3</v>
      </c>
      <c r="I570" s="89">
        <f t="shared" si="46"/>
        <v>37264.749999999993</v>
      </c>
      <c r="J570" s="89">
        <f t="shared" si="46"/>
        <v>2164</v>
      </c>
      <c r="K570" s="89">
        <f t="shared" si="46"/>
        <v>832.5</v>
      </c>
      <c r="L570" s="89">
        <f t="shared" si="46"/>
        <v>579952.05000000005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4357.2-4000+3166.81</f>
        <v>3524.0099999999998</v>
      </c>
      <c r="G581" s="18">
        <f>11650.81-10894.69+7268.69</f>
        <v>8024.8099999999986</v>
      </c>
      <c r="H581" s="18">
        <f>336401.17-6395.35+437.5</f>
        <v>330443.32</v>
      </c>
      <c r="I581" s="87">
        <f t="shared" si="47"/>
        <v>341992.14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f>6494.78-3267.88+2985.04-2009.62+1439.7-975.42+1057.56+593.62</f>
        <v>6317.78</v>
      </c>
      <c r="I583" s="87">
        <f t="shared" si="47"/>
        <v>6317.78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330549.08+409.91</f>
        <v>330958.99</v>
      </c>
      <c r="I590" s="18">
        <f>194787.85+241.55</f>
        <v>195029.4</v>
      </c>
      <c r="J590" s="18">
        <f>64929.28+80.52</f>
        <v>65009.799999999996</v>
      </c>
      <c r="K590" s="104">
        <f t="shared" ref="K590:K596" si="48">SUM(H590:J590)</f>
        <v>590998.19000000006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97041.32-2712</f>
        <v>94329.32</v>
      </c>
      <c r="I591" s="18">
        <f>25251.52-512.27</f>
        <v>24739.25</v>
      </c>
      <c r="J591" s="18">
        <f>83731.11-872.27</f>
        <v>82858.84</v>
      </c>
      <c r="K591" s="104">
        <f t="shared" si="48"/>
        <v>201927.41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33858-60</f>
        <v>33798</v>
      </c>
      <c r="K592" s="104">
        <f t="shared" si="48"/>
        <v>33798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14498.76</f>
        <v>14498.76</v>
      </c>
      <c r="J593" s="18">
        <f>59351.97-268.56</f>
        <v>59083.41</v>
      </c>
      <c r="K593" s="104">
        <f t="shared" si="48"/>
        <v>73582.17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425288.31</v>
      </c>
      <c r="I597" s="108">
        <f>SUM(I590:I596)</f>
        <v>234267.41</v>
      </c>
      <c r="J597" s="108">
        <f>SUM(J590:J596)</f>
        <v>240750.05</v>
      </c>
      <c r="K597" s="108">
        <f>SUM(K590:K596)</f>
        <v>900305.77000000014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10379.28-9165.05+7071.84-3715.18+2164+201+3329.02+31.26+5889.31+1229.97+184.65+6853.41+7660.17+44533.62</f>
        <v>76647.300000000017</v>
      </c>
      <c r="I603" s="18">
        <f>27287.79+936.93+274.23+59.99+3284.43+685.94+168.36+107.6+4132.21+4618.64+26851.16+51.65</f>
        <v>68458.929999999993</v>
      </c>
      <c r="J603" s="18">
        <f>53706.93+1470.95+16705.96+17910.81+3692+22354.12+4983.26+1040.74-22385.38+20350.35+1234.64+150.55+5811.97+6496.13+37766.26+397.45+716</f>
        <v>172402.74000000002</v>
      </c>
      <c r="K603" s="104">
        <f>SUM(H603:J603)</f>
        <v>317508.97000000003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76647.300000000017</v>
      </c>
      <c r="I604" s="108">
        <f>SUM(I601:I603)</f>
        <v>68458.929999999993</v>
      </c>
      <c r="J604" s="108">
        <f>SUM(J601:J603)</f>
        <v>172402.74000000002</v>
      </c>
      <c r="K604" s="108">
        <f>SUM(K601:K603)</f>
        <v>317508.97000000003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7212.55+7670+3900+3640+3952+2250+1500+1500+750</f>
        <v>32374.55</v>
      </c>
      <c r="G610" s="18">
        <f>1523.46+891.97+744.48+577.02+7212.55*(0.0765+0.113)+0.01</f>
        <v>5103.7182250000005</v>
      </c>
      <c r="H610" s="18"/>
      <c r="I610" s="18">
        <f>1101.05+338.94+265+534.6+159.33+1342.37+967.87+847.4</f>
        <v>5556.5599999999995</v>
      </c>
      <c r="J610" s="18"/>
      <c r="K610" s="18"/>
      <c r="L610" s="88">
        <f>SUM(F610:K610)</f>
        <v>43034.828224999997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4510</f>
        <v>4510</v>
      </c>
      <c r="G611" s="18">
        <f>F611*(0.0765+0.113)</f>
        <v>854.64499999999998</v>
      </c>
      <c r="H611" s="18"/>
      <c r="I611" s="18">
        <f>78.95</f>
        <v>78.95</v>
      </c>
      <c r="J611" s="18"/>
      <c r="K611" s="18"/>
      <c r="L611" s="88">
        <f>SUM(F611:K611)</f>
        <v>5443.5950000000003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8900</f>
        <v>8900</v>
      </c>
      <c r="G612" s="18">
        <f>F612*(0.0765+0.113)</f>
        <v>1686.55</v>
      </c>
      <c r="H612" s="18"/>
      <c r="I612" s="18"/>
      <c r="J612" s="18"/>
      <c r="K612" s="18"/>
      <c r="L612" s="88">
        <f>SUM(F612:K612)</f>
        <v>10586.55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45784.55</v>
      </c>
      <c r="G613" s="108">
        <f t="shared" si="49"/>
        <v>7644.9132250000011</v>
      </c>
      <c r="H613" s="108">
        <f t="shared" si="49"/>
        <v>0</v>
      </c>
      <c r="I613" s="108">
        <f t="shared" si="49"/>
        <v>5635.5099999999993</v>
      </c>
      <c r="J613" s="108">
        <f t="shared" si="49"/>
        <v>0</v>
      </c>
      <c r="K613" s="108">
        <f t="shared" si="49"/>
        <v>0</v>
      </c>
      <c r="L613" s="89">
        <f t="shared" si="49"/>
        <v>59064.973224999994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1090513.9000000001</v>
      </c>
      <c r="H616" s="109">
        <f>SUM(F51)</f>
        <v>1090513.8999999999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98978.689999999988</v>
      </c>
      <c r="H617" s="109">
        <f>SUM(G51)</f>
        <v>98978.69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391601.5</v>
      </c>
      <c r="H618" s="109">
        <f>SUM(H51)</f>
        <v>391601.5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2627395.81</v>
      </c>
      <c r="H620" s="109">
        <f>SUM(J51)</f>
        <v>2627395.81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847537.84</v>
      </c>
      <c r="H621" s="109">
        <f>F475</f>
        <v>847537.83999999985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98978.69</v>
      </c>
      <c r="H622" s="109">
        <f>G475</f>
        <v>98978.689999999944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69706.94</v>
      </c>
      <c r="H623" s="109">
        <f>H475</f>
        <v>69706.939999999944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2627395.81</v>
      </c>
      <c r="H625" s="109">
        <f>J475</f>
        <v>2627395.81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32908740.75</v>
      </c>
      <c r="H626" s="104">
        <f>SUM(F467)</f>
        <v>32908740.75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837055.35000000009</v>
      </c>
      <c r="H627" s="104">
        <f>SUM(G467)</f>
        <v>837055.35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1570178.9600000002</v>
      </c>
      <c r="H628" s="104">
        <f>SUM(H467)</f>
        <v>1570178.96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183053.26</v>
      </c>
      <c r="H630" s="104">
        <f>SUM(J467)</f>
        <v>183053.26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33483331.170000002</v>
      </c>
      <c r="H631" s="104">
        <f>SUM(F471)</f>
        <v>33483331.169999998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1590529.33</v>
      </c>
      <c r="H632" s="104">
        <f>SUM(H471)</f>
        <v>1590529.33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431635.91</v>
      </c>
      <c r="H633" s="104">
        <f>I368</f>
        <v>431635.91000000003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844649.0199999999</v>
      </c>
      <c r="H634" s="104">
        <f>SUM(G471)</f>
        <v>844649.02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239146.6</v>
      </c>
      <c r="H635" s="104">
        <f>SUM(I471)</f>
        <v>239146.6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183053.25999999995</v>
      </c>
      <c r="H636" s="164">
        <f>SUM(J467)</f>
        <v>183053.26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62235.03</v>
      </c>
      <c r="H637" s="164">
        <f>SUM(J471)</f>
        <v>62235.03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121308.35</v>
      </c>
      <c r="H639" s="104">
        <f>SUM(G460)</f>
        <v>121308.35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2506087.46</v>
      </c>
      <c r="H640" s="104">
        <f>SUM(H460)</f>
        <v>2506087.46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2627395.81</v>
      </c>
      <c r="H641" s="104">
        <f>SUM(I460)</f>
        <v>2627395.81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75436.570000000007</v>
      </c>
      <c r="H643" s="104">
        <f>H407</f>
        <v>75436.569999999992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183053.26</v>
      </c>
      <c r="H645" s="104">
        <f>L407</f>
        <v>183053.25999999995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900305.77000000014</v>
      </c>
      <c r="H646" s="104">
        <f>L207+L225+L243</f>
        <v>900305.77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317508.97000000003</v>
      </c>
      <c r="H647" s="104">
        <f>(J256+J337)-(J254+J335)</f>
        <v>317508.97000000003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425288.31</v>
      </c>
      <c r="H648" s="104">
        <f>H597</f>
        <v>425288.31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234267.41</v>
      </c>
      <c r="H649" s="104">
        <f>I597</f>
        <v>234267.41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240750.05</v>
      </c>
      <c r="H650" s="104">
        <f>J597</f>
        <v>240750.05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13423792.512399998</v>
      </c>
      <c r="G659" s="19">
        <f>(L228+L308+L358)</f>
        <v>8358429.7413000017</v>
      </c>
      <c r="H659" s="19">
        <f>(L246+L327+L359)</f>
        <v>12424871.416299999</v>
      </c>
      <c r="I659" s="19">
        <f>SUM(F659:H659)</f>
        <v>34207093.670000002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186944.28212711075</v>
      </c>
      <c r="G660" s="19">
        <f>(L358/IF(SUM(L357:L359)=0,1,SUM(L357:L359))*(SUM(G96:G109)))</f>
        <v>131449.72471487569</v>
      </c>
      <c r="H660" s="19">
        <f>(L359/IF(SUM(L357:L359)=0,1,SUM(L357:L359))*(SUM(G96:G109)))</f>
        <v>182800.22315801363</v>
      </c>
      <c r="I660" s="19">
        <f>SUM(F660:H660)</f>
        <v>501194.2300000001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425288.31</v>
      </c>
      <c r="G661" s="19">
        <f>(L225+L305)-(J225+J305)</f>
        <v>234267.41</v>
      </c>
      <c r="H661" s="19">
        <f>(L243+L324)-(J243+J324)</f>
        <v>253198.9</v>
      </c>
      <c r="I661" s="19">
        <f>SUM(F661:H661)</f>
        <v>912754.62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123206.138225</v>
      </c>
      <c r="G662" s="200">
        <f>SUM(G574:G586)+SUM(I601:I603)+L611</f>
        <v>81927.334999999992</v>
      </c>
      <c r="H662" s="200">
        <f>SUM(H574:H586)+SUM(J601:J603)+L612</f>
        <v>519750.39000000007</v>
      </c>
      <c r="I662" s="19">
        <f>SUM(F662:H662)</f>
        <v>724883.8632250001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12688353.782047886</v>
      </c>
      <c r="G663" s="19">
        <f>G659-SUM(G660:G662)</f>
        <v>7910785.2715851264</v>
      </c>
      <c r="H663" s="19">
        <f>H659-SUM(H660:H662)</f>
        <v>11469121.903141985</v>
      </c>
      <c r="I663" s="19">
        <f>I659-SUM(I660:I662)</f>
        <v>32068260.956775002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1073.5999999999999</v>
      </c>
      <c r="G664" s="248">
        <v>646.76</v>
      </c>
      <c r="H664" s="248">
        <v>908.16</v>
      </c>
      <c r="I664" s="19">
        <f>SUM(F664:H664)</f>
        <v>2628.52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11818.51</v>
      </c>
      <c r="G666" s="19">
        <f>ROUND(G663/G664,2)</f>
        <v>12231.41</v>
      </c>
      <c r="H666" s="19">
        <f>ROUND(H663/H664,2)</f>
        <v>12628.97</v>
      </c>
      <c r="I666" s="19">
        <f>ROUND(I663/I664,2)</f>
        <v>12200.12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7.93</v>
      </c>
      <c r="I669" s="19">
        <f>SUM(F669:H669)</f>
        <v>7.93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11818.51</v>
      </c>
      <c r="G671" s="19">
        <f>ROUND((G663+G668)/(G664+G669),2)</f>
        <v>12231.41</v>
      </c>
      <c r="H671" s="19">
        <f>ROUND((H663+H668)/(H664+H669),2)</f>
        <v>12519.65</v>
      </c>
      <c r="I671" s="19">
        <f>ROUND((I663+I668)/(I664+I669),2)</f>
        <v>12163.42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sqref="A1:C5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MILFORD SCHOOL DISTRICT SAU #40</v>
      </c>
      <c r="C1" s="239" t="s">
        <v>839</v>
      </c>
    </row>
    <row r="2" spans="1:3">
      <c r="A2" s="234"/>
      <c r="B2" s="233"/>
    </row>
    <row r="3" spans="1:3">
      <c r="A3" s="273" t="s">
        <v>784</v>
      </c>
      <c r="B3" s="273"/>
      <c r="C3" s="273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2" t="s">
        <v>783</v>
      </c>
      <c r="C6" s="272"/>
    </row>
    <row r="7" spans="1:3">
      <c r="A7" s="240" t="s">
        <v>786</v>
      </c>
      <c r="B7" s="270" t="s">
        <v>782</v>
      </c>
      <c r="C7" s="271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9641975.6899999995</v>
      </c>
      <c r="C9" s="230">
        <f>'DOE25'!G196+'DOE25'!G214+'DOE25'!G232+'DOE25'!G275+'DOE25'!G294+'DOE25'!G313</f>
        <v>4476161.3</v>
      </c>
    </row>
    <row r="10" spans="1:3">
      <c r="A10" t="s">
        <v>779</v>
      </c>
      <c r="B10" s="241">
        <f>9171447.31</f>
        <v>9171447.3100000005</v>
      </c>
      <c r="C10" s="241">
        <f>4476161.3-C11-C12</f>
        <v>4407986.4782140004</v>
      </c>
    </row>
    <row r="11" spans="1:3">
      <c r="A11" t="s">
        <v>780</v>
      </c>
      <c r="B11" s="241">
        <f>268339.6</f>
        <v>268339.59999999998</v>
      </c>
      <c r="C11" s="241">
        <f>B11*(0.0765+0.00171)+6823.36+23114.07+1783.11</f>
        <v>52707.380116</v>
      </c>
    </row>
    <row r="12" spans="1:3">
      <c r="A12" t="s">
        <v>781</v>
      </c>
      <c r="B12" s="241">
        <f>202188.78</f>
        <v>202188.78</v>
      </c>
      <c r="C12" s="241">
        <f>B12*0.0765</f>
        <v>15467.44167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9641975.6899999995</v>
      </c>
      <c r="C13" s="232">
        <f>SUM(C10:C12)</f>
        <v>4476161.3</v>
      </c>
    </row>
    <row r="14" spans="1:3">
      <c r="B14" s="231"/>
      <c r="C14" s="231"/>
    </row>
    <row r="15" spans="1:3">
      <c r="B15" s="272" t="s">
        <v>783</v>
      </c>
      <c r="C15" s="272"/>
    </row>
    <row r="16" spans="1:3">
      <c r="A16" s="240" t="s">
        <v>787</v>
      </c>
      <c r="B16" s="270" t="s">
        <v>707</v>
      </c>
      <c r="C16" s="271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3409942.4499999997</v>
      </c>
      <c r="C18" s="230">
        <f>'DOE25'!G197+'DOE25'!G215+'DOE25'!G233+'DOE25'!G276+'DOE25'!G295+'DOE25'!G314</f>
        <v>1397170.9800000002</v>
      </c>
    </row>
    <row r="19" spans="1:3">
      <c r="A19" t="s">
        <v>779</v>
      </c>
      <c r="B19" s="241">
        <f>1729261.17</f>
        <v>1729261.17</v>
      </c>
      <c r="C19" s="241">
        <f>1397170.98-C20-C21</f>
        <v>514874.35940539988</v>
      </c>
    </row>
    <row r="20" spans="1:3">
      <c r="A20" t="s">
        <v>780</v>
      </c>
      <c r="B20" s="241">
        <f>1595106.26</f>
        <v>1595106.26</v>
      </c>
      <c r="C20" s="241">
        <f>B20*(0.0765+0.00171)+11422.53+12.93+135224.53+535140.68+26641.3</f>
        <v>833195.23059460009</v>
      </c>
    </row>
    <row r="21" spans="1:3">
      <c r="A21" t="s">
        <v>781</v>
      </c>
      <c r="B21" s="241">
        <f>85575.02</f>
        <v>85575.02</v>
      </c>
      <c r="C21" s="241">
        <f>20899.39+8977.8+5902.68+596.46+7969.57+4755.49</f>
        <v>49101.389999999992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3409942.4499999997</v>
      </c>
      <c r="C22" s="232">
        <f>SUM(C19:C21)</f>
        <v>1397170.9799999997</v>
      </c>
    </row>
    <row r="23" spans="1:3">
      <c r="B23" s="231"/>
      <c r="C23" s="231"/>
    </row>
    <row r="24" spans="1:3">
      <c r="B24" s="272" t="s">
        <v>783</v>
      </c>
      <c r="C24" s="272"/>
    </row>
    <row r="25" spans="1:3">
      <c r="A25" s="240" t="s">
        <v>788</v>
      </c>
      <c r="B25" s="270" t="s">
        <v>708</v>
      </c>
      <c r="C25" s="271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737847.4</v>
      </c>
      <c r="C27" s="235">
        <f>'DOE25'!G198+'DOE25'!G216+'DOE25'!G234+'DOE25'!G277+'DOE25'!G296+'DOE25'!G315</f>
        <v>345839.35</v>
      </c>
    </row>
    <row r="28" spans="1:3">
      <c r="A28" t="s">
        <v>779</v>
      </c>
      <c r="B28" s="241">
        <f>737847.4</f>
        <v>737847.4</v>
      </c>
      <c r="C28" s="241">
        <f>C27</f>
        <v>345839.35</v>
      </c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737847.4</v>
      </c>
      <c r="C31" s="232">
        <f>SUM(C28:C30)</f>
        <v>345839.35</v>
      </c>
    </row>
    <row r="33" spans="1:3">
      <c r="B33" s="272" t="s">
        <v>783</v>
      </c>
      <c r="C33" s="272"/>
    </row>
    <row r="34" spans="1:3">
      <c r="A34" s="240" t="s">
        <v>789</v>
      </c>
      <c r="B34" s="270" t="s">
        <v>709</v>
      </c>
      <c r="C34" s="271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209072.07</v>
      </c>
      <c r="C36" s="236">
        <f>'DOE25'!G199+'DOE25'!G217+'DOE25'!G235+'DOE25'!G278+'DOE25'!G297+'DOE25'!G316</f>
        <v>20730.64</v>
      </c>
    </row>
    <row r="37" spans="1:3">
      <c r="A37" t="s">
        <v>779</v>
      </c>
      <c r="B37" s="241">
        <f>20622.55+7670+3900+3640+3952</f>
        <v>39784.550000000003</v>
      </c>
      <c r="C37" s="241">
        <v>7252.1399999999994</v>
      </c>
    </row>
    <row r="38" spans="1:3">
      <c r="A38" t="s">
        <v>780</v>
      </c>
      <c r="B38" s="241">
        <f>5250+750</f>
        <v>6000</v>
      </c>
      <c r="C38" s="241">
        <v>986.99999999999989</v>
      </c>
    </row>
    <row r="39" spans="1:3">
      <c r="A39" t="s">
        <v>781</v>
      </c>
      <c r="B39" s="241">
        <f>35980+127307.52</f>
        <v>163287.52000000002</v>
      </c>
      <c r="C39" s="241">
        <v>12491.5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209072.07</v>
      </c>
      <c r="C40" s="232">
        <f>SUM(C37:C39)</f>
        <v>20730.64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4" t="s">
        <v>778</v>
      </c>
    </row>
    <row r="49" spans="1:1">
      <c r="A49" s="268" t="s">
        <v>844</v>
      </c>
    </row>
    <row r="50" spans="1:1">
      <c r="A50" s="268" t="s">
        <v>838</v>
      </c>
    </row>
    <row r="51" spans="1:1">
      <c r="A51" s="268" t="s">
        <v>845</v>
      </c>
    </row>
    <row r="52" spans="1:1">
      <c r="A52" s="269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2" t="s">
        <v>790</v>
      </c>
      <c r="B1" s="277"/>
      <c r="C1" s="277"/>
      <c r="D1" s="277"/>
      <c r="E1" s="277"/>
      <c r="F1" s="277"/>
      <c r="G1" s="277"/>
      <c r="H1" s="277"/>
      <c r="I1" s="181"/>
    </row>
    <row r="2" spans="1:9">
      <c r="A2" s="33" t="s">
        <v>717</v>
      </c>
      <c r="B2" s="265" t="str">
        <f>'DOE25'!A2</f>
        <v>MILFORD SCHOOL DISTRICT SAU #40</v>
      </c>
      <c r="C2" s="181"/>
      <c r="D2" s="181" t="s">
        <v>792</v>
      </c>
      <c r="E2" s="181" t="s">
        <v>794</v>
      </c>
      <c r="F2" s="274" t="s">
        <v>821</v>
      </c>
      <c r="G2" s="275"/>
      <c r="H2" s="276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20637176.059999999</v>
      </c>
      <c r="D5" s="20">
        <f>SUM('DOE25'!L196:L199)+SUM('DOE25'!L214:L217)+SUM('DOE25'!L232:L235)-F5-G5</f>
        <v>20507013.539999999</v>
      </c>
      <c r="E5" s="244"/>
      <c r="F5" s="255">
        <f>SUM('DOE25'!J196:J199)+SUM('DOE25'!J214:J217)+SUM('DOE25'!J232:J235)</f>
        <v>114161.52</v>
      </c>
      <c r="G5" s="53">
        <f>SUM('DOE25'!K196:K199)+SUM('DOE25'!K214:K217)+SUM('DOE25'!K232:K235)</f>
        <v>16001</v>
      </c>
      <c r="H5" s="259"/>
    </row>
    <row r="6" spans="1:9">
      <c r="A6" s="32">
        <v>2100</v>
      </c>
      <c r="B6" t="s">
        <v>801</v>
      </c>
      <c r="C6" s="246">
        <f t="shared" si="0"/>
        <v>2561250.5500000003</v>
      </c>
      <c r="D6" s="20">
        <f>'DOE25'!L201+'DOE25'!L219+'DOE25'!L237-F6-G6</f>
        <v>2560815.5500000003</v>
      </c>
      <c r="E6" s="244"/>
      <c r="F6" s="255">
        <f>'DOE25'!J201+'DOE25'!J219+'DOE25'!J237</f>
        <v>0</v>
      </c>
      <c r="G6" s="53">
        <f>'DOE25'!K201+'DOE25'!K219+'DOE25'!K237</f>
        <v>435</v>
      </c>
      <c r="H6" s="259"/>
    </row>
    <row r="7" spans="1:9">
      <c r="A7" s="32">
        <v>2200</v>
      </c>
      <c r="B7" t="s">
        <v>834</v>
      </c>
      <c r="C7" s="246">
        <f t="shared" si="0"/>
        <v>469415.29</v>
      </c>
      <c r="D7" s="20">
        <f>'DOE25'!L202+'DOE25'!L220+'DOE25'!L238-F7-G7</f>
        <v>467858.85</v>
      </c>
      <c r="E7" s="244"/>
      <c r="F7" s="255">
        <f>'DOE25'!J202+'DOE25'!J220+'DOE25'!J238</f>
        <v>1556.4399999999998</v>
      </c>
      <c r="G7" s="53">
        <f>'DOE25'!K202+'DOE25'!K220+'DOE25'!K238</f>
        <v>0</v>
      </c>
      <c r="H7" s="259"/>
    </row>
    <row r="8" spans="1:9">
      <c r="A8" s="32">
        <v>2300</v>
      </c>
      <c r="B8" t="s">
        <v>802</v>
      </c>
      <c r="C8" s="246">
        <f t="shared" si="0"/>
        <v>1729293.6199999999</v>
      </c>
      <c r="D8" s="244"/>
      <c r="E8" s="20">
        <f>'DOE25'!L203+'DOE25'!L221+'DOE25'!L239-F8-G8-D9-D11</f>
        <v>1700930.0199999998</v>
      </c>
      <c r="F8" s="255">
        <f>'DOE25'!J203+'DOE25'!J221+'DOE25'!J239</f>
        <v>14157</v>
      </c>
      <c r="G8" s="53">
        <f>'DOE25'!K203+'DOE25'!K221+'DOE25'!K239</f>
        <v>14206.6</v>
      </c>
      <c r="H8" s="259"/>
    </row>
    <row r="9" spans="1:9">
      <c r="A9" s="32">
        <v>2310</v>
      </c>
      <c r="B9" t="s">
        <v>818</v>
      </c>
      <c r="C9" s="246">
        <f t="shared" si="0"/>
        <v>70842.67</v>
      </c>
      <c r="D9" s="245">
        <f>70842.67</f>
        <v>70842.67</v>
      </c>
      <c r="E9" s="244"/>
      <c r="F9" s="258"/>
      <c r="G9" s="256"/>
      <c r="H9" s="259"/>
    </row>
    <row r="10" spans="1:9">
      <c r="A10" s="32">
        <v>2317</v>
      </c>
      <c r="B10" t="s">
        <v>819</v>
      </c>
      <c r="C10" s="246">
        <f t="shared" si="0"/>
        <v>15650</v>
      </c>
      <c r="D10" s="244"/>
      <c r="E10" s="245">
        <f>15650</f>
        <v>15650</v>
      </c>
      <c r="F10" s="258"/>
      <c r="G10" s="256"/>
      <c r="H10" s="259"/>
    </row>
    <row r="11" spans="1:9">
      <c r="A11" s="32">
        <v>2321</v>
      </c>
      <c r="B11" t="s">
        <v>831</v>
      </c>
      <c r="C11" s="246">
        <f t="shared" si="0"/>
        <v>250379.91</v>
      </c>
      <c r="D11" s="245">
        <f>250379.91</f>
        <v>250379.91</v>
      </c>
      <c r="E11" s="244"/>
      <c r="F11" s="258"/>
      <c r="G11" s="256"/>
      <c r="H11" s="259"/>
    </row>
    <row r="12" spans="1:9">
      <c r="A12" s="32">
        <v>2400</v>
      </c>
      <c r="B12" t="s">
        <v>715</v>
      </c>
      <c r="C12" s="246">
        <f t="shared" si="0"/>
        <v>1828324.07</v>
      </c>
      <c r="D12" s="20">
        <f>'DOE25'!L204+'DOE25'!L222+'DOE25'!L240-F12-G12</f>
        <v>1799012.18</v>
      </c>
      <c r="E12" s="244"/>
      <c r="F12" s="255">
        <f>'DOE25'!J204+'DOE25'!J222+'DOE25'!J240</f>
        <v>6764.0999999999995</v>
      </c>
      <c r="G12" s="53">
        <f>'DOE25'!K204+'DOE25'!K222+'DOE25'!K240</f>
        <v>22547.789999999997</v>
      </c>
      <c r="H12" s="259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>
      <c r="A14" s="32">
        <v>2600</v>
      </c>
      <c r="B14" t="s">
        <v>832</v>
      </c>
      <c r="C14" s="246">
        <f t="shared" si="0"/>
        <v>2667049.11</v>
      </c>
      <c r="D14" s="20">
        <f>'DOE25'!L206+'DOE25'!L224+'DOE25'!L242-F14-G14</f>
        <v>2666606.31</v>
      </c>
      <c r="E14" s="244"/>
      <c r="F14" s="255">
        <f>'DOE25'!J206+'DOE25'!J224+'DOE25'!J242</f>
        <v>442.8</v>
      </c>
      <c r="G14" s="53">
        <f>'DOE25'!K206+'DOE25'!K224+'DOE25'!K242</f>
        <v>0</v>
      </c>
      <c r="H14" s="259"/>
    </row>
    <row r="15" spans="1:9">
      <c r="A15" s="32">
        <v>2700</v>
      </c>
      <c r="B15" t="s">
        <v>804</v>
      </c>
      <c r="C15" s="246">
        <f t="shared" si="0"/>
        <v>900305.77</v>
      </c>
      <c r="D15" s="20">
        <f>'DOE25'!L207+'DOE25'!L225+'DOE25'!L243-F15-G15</f>
        <v>900305.77</v>
      </c>
      <c r="E15" s="244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>
      <c r="A16" s="32">
        <v>2800</v>
      </c>
      <c r="B16" t="s">
        <v>805</v>
      </c>
      <c r="C16" s="246">
        <f t="shared" si="0"/>
        <v>678150.79</v>
      </c>
      <c r="D16" s="244"/>
      <c r="E16" s="20">
        <f>'DOE25'!L208+'DOE25'!L226+'DOE25'!L244-F16-G16</f>
        <v>639621.61</v>
      </c>
      <c r="F16" s="255">
        <f>'DOE25'!J208+'DOE25'!J226+'DOE25'!J244</f>
        <v>38529.18</v>
      </c>
      <c r="G16" s="53">
        <f>'DOE25'!K208+'DOE25'!K226+'DOE25'!K244</f>
        <v>0</v>
      </c>
      <c r="H16" s="259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5">
        <f>'DOE25'!J250</f>
        <v>0</v>
      </c>
      <c r="G17" s="53">
        <f>'DOE25'!K250</f>
        <v>0</v>
      </c>
      <c r="H17" s="259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5">
        <f>'DOE25'!J251</f>
        <v>0</v>
      </c>
      <c r="G18" s="53">
        <f>'DOE25'!K251</f>
        <v>0</v>
      </c>
      <c r="H18" s="259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5">
        <f>'DOE25'!J252</f>
        <v>0</v>
      </c>
      <c r="G19" s="53">
        <f>'DOE25'!K252</f>
        <v>0</v>
      </c>
      <c r="H19" s="259"/>
    </row>
    <row r="20" spans="1:8">
      <c r="F20" s="260"/>
      <c r="G20" s="52"/>
      <c r="H20" s="261"/>
    </row>
    <row r="21" spans="1:8">
      <c r="B21" s="33" t="s">
        <v>796</v>
      </c>
      <c r="F21" s="260"/>
      <c r="G21" s="52"/>
      <c r="H21" s="261"/>
    </row>
    <row r="22" spans="1:8">
      <c r="A22" s="32">
        <v>4000</v>
      </c>
      <c r="B22" t="s">
        <v>833</v>
      </c>
      <c r="C22" s="246">
        <f>SUM(D22:H22)</f>
        <v>12880.23</v>
      </c>
      <c r="D22" s="244"/>
      <c r="E22" s="244"/>
      <c r="F22" s="255">
        <f>'DOE25'!L254+'DOE25'!L335</f>
        <v>12880.23</v>
      </c>
      <c r="G22" s="256"/>
      <c r="H22" s="259"/>
    </row>
    <row r="23" spans="1:8">
      <c r="A23" s="32"/>
      <c r="F23" s="260"/>
      <c r="G23" s="52"/>
      <c r="H23" s="261"/>
    </row>
    <row r="24" spans="1:8">
      <c r="A24" s="32"/>
      <c r="B24" s="33" t="s">
        <v>464</v>
      </c>
      <c r="F24" s="260"/>
      <c r="G24" s="52"/>
      <c r="H24" s="261"/>
    </row>
    <row r="25" spans="1:8">
      <c r="A25" s="32" t="s">
        <v>809</v>
      </c>
      <c r="B25" t="s">
        <v>810</v>
      </c>
      <c r="C25" s="246">
        <f>SUM(D25:H25)</f>
        <v>1691143.33</v>
      </c>
      <c r="D25" s="244"/>
      <c r="E25" s="244"/>
      <c r="F25" s="258"/>
      <c r="G25" s="256"/>
      <c r="H25" s="257">
        <f>'DOE25'!L259+'DOE25'!L260+'DOE25'!L340+'DOE25'!L341</f>
        <v>1691143.33</v>
      </c>
    </row>
    <row r="26" spans="1:8">
      <c r="A26" s="32"/>
      <c r="F26" s="260"/>
      <c r="G26" s="52"/>
      <c r="H26" s="261"/>
    </row>
    <row r="27" spans="1:8">
      <c r="A27" s="32"/>
      <c r="B27" s="33" t="s">
        <v>812</v>
      </c>
      <c r="F27" s="260"/>
      <c r="G27" s="52"/>
      <c r="H27" s="261"/>
    </row>
    <row r="28" spans="1:8">
      <c r="A28" s="32">
        <v>3100</v>
      </c>
      <c r="B28" t="s">
        <v>825</v>
      </c>
      <c r="F28" s="260"/>
      <c r="G28" s="52"/>
      <c r="H28" s="261"/>
    </row>
    <row r="29" spans="1:8">
      <c r="A29" s="32"/>
      <c r="B29" t="s">
        <v>813</v>
      </c>
      <c r="C29" s="246">
        <f>SUM(D29:H29)</f>
        <v>454716.8899999999</v>
      </c>
      <c r="D29" s="20">
        <f>'DOE25'!L357+'DOE25'!L358+'DOE25'!L359-'DOE25'!I366-F29-G29</f>
        <v>453148.81999999989</v>
      </c>
      <c r="E29" s="244"/>
      <c r="F29" s="255">
        <f>'DOE25'!J357+'DOE25'!J358+'DOE25'!J359</f>
        <v>1433.07</v>
      </c>
      <c r="G29" s="53">
        <f>'DOE25'!K357+'DOE25'!K358+'DOE25'!K359</f>
        <v>135</v>
      </c>
      <c r="H29" s="259"/>
    </row>
    <row r="30" spans="1:8">
      <c r="A30" s="32"/>
      <c r="D30" s="20"/>
      <c r="E30" s="244"/>
      <c r="F30" s="255"/>
      <c r="G30" s="53"/>
      <c r="H30" s="259"/>
    </row>
    <row r="31" spans="1:8">
      <c r="A31" s="32" t="s">
        <v>827</v>
      </c>
      <c r="B31" t="s">
        <v>826</v>
      </c>
      <c r="C31" s="246">
        <f>SUM(D31:H31)</f>
        <v>1577649.1</v>
      </c>
      <c r="D31" s="20">
        <f>'DOE25'!L289+'DOE25'!L308+'DOE25'!L327+'DOE25'!L332+'DOE25'!L333+'DOE25'!L334-F31-G31</f>
        <v>1435611.1700000002</v>
      </c>
      <c r="E31" s="244"/>
      <c r="F31" s="255">
        <f>'DOE25'!J289+'DOE25'!J308+'DOE25'!J327+'DOE25'!J332+'DOE25'!J333+'DOE25'!J334</f>
        <v>141897.93</v>
      </c>
      <c r="G31" s="53">
        <f>'DOE25'!K289+'DOE25'!K308+'DOE25'!K327+'DOE25'!K332+'DOE25'!K333+'DOE25'!K334</f>
        <v>140</v>
      </c>
      <c r="H31" s="259"/>
    </row>
    <row r="32" spans="1:8" ht="12" thickBot="1">
      <c r="F32" s="262"/>
      <c r="G32" s="253"/>
      <c r="H32" s="263"/>
    </row>
    <row r="33" spans="2:8" ht="12" thickTop="1">
      <c r="B33" t="s">
        <v>814</v>
      </c>
      <c r="D33" s="247">
        <f>SUM(D5:D31)</f>
        <v>31111594.770000003</v>
      </c>
      <c r="E33" s="247">
        <f>SUM(E5:E31)</f>
        <v>2356201.63</v>
      </c>
      <c r="F33" s="247">
        <f>SUM(F5:F31)</f>
        <v>331822.27</v>
      </c>
      <c r="G33" s="247">
        <f>SUM(G5:G31)</f>
        <v>53465.39</v>
      </c>
      <c r="H33" s="247">
        <f>SUM(H5:H31)</f>
        <v>1691143.33</v>
      </c>
    </row>
    <row r="35" spans="2:8" ht="12" thickBot="1">
      <c r="B35" s="253" t="s">
        <v>847</v>
      </c>
      <c r="D35" s="254">
        <f>E33</f>
        <v>2356201.63</v>
      </c>
      <c r="E35" s="249"/>
    </row>
    <row r="36" spans="2:8" ht="12" thickTop="1">
      <c r="B36" t="s">
        <v>815</v>
      </c>
      <c r="D36" s="20">
        <f>D33</f>
        <v>31111594.770000003</v>
      </c>
    </row>
    <row r="38" spans="2:8">
      <c r="B38" s="187" t="s">
        <v>859</v>
      </c>
      <c r="C38" s="266"/>
      <c r="D38" s="267"/>
    </row>
    <row r="39" spans="2:8">
      <c r="B39" t="s">
        <v>824</v>
      </c>
      <c r="D39" s="181" t="str">
        <f>IF(E10&gt;0,"Y","N")</f>
        <v>Y</v>
      </c>
    </row>
    <row r="41" spans="2:8">
      <c r="B41" s="264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MILFORD SCHOOL DISTRICT SAU #40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675693.83</v>
      </c>
      <c r="D8" s="95">
        <f>'DOE25'!G9</f>
        <v>398.65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207838.2</v>
      </c>
      <c r="D11" s="95">
        <f>'DOE25'!G12</f>
        <v>83523.98</v>
      </c>
      <c r="E11" s="95">
        <f>'DOE25'!H12</f>
        <v>16807.38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76566.25</v>
      </c>
      <c r="D12" s="95">
        <f>'DOE25'!G13</f>
        <v>15056.06</v>
      </c>
      <c r="E12" s="95">
        <f>'DOE25'!H13</f>
        <v>374294.12</v>
      </c>
      <c r="F12" s="95">
        <f>'DOE25'!I13</f>
        <v>0</v>
      </c>
      <c r="G12" s="95">
        <f>'DOE25'!J13</f>
        <v>2627395.81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2349.0300000000002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128066.59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500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1090513.9000000001</v>
      </c>
      <c r="D18" s="41">
        <f>SUM(D8:D17)</f>
        <v>98978.689999999988</v>
      </c>
      <c r="E18" s="41">
        <f>SUM(E8:E17)</f>
        <v>391601.5</v>
      </c>
      <c r="F18" s="41">
        <f>SUM(F8:F17)</f>
        <v>0</v>
      </c>
      <c r="G18" s="41">
        <f>SUM(G8:G17)</f>
        <v>2627395.81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308169.56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3165.24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240710.82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-900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13725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242976.06</v>
      </c>
      <c r="D31" s="41">
        <f>SUM(D21:D30)</f>
        <v>0</v>
      </c>
      <c r="E31" s="41">
        <f>SUM(E21:E30)</f>
        <v>321894.56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128066.59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2415177.23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151061.16999999998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61157.41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77000</v>
      </c>
      <c r="D46" s="95">
        <f>'DOE25'!G47</f>
        <v>98978.69</v>
      </c>
      <c r="E46" s="95">
        <f>'DOE25'!H47</f>
        <v>69706.94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177607.25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464864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847537.84</v>
      </c>
      <c r="D49" s="41">
        <f>SUM(D34:D48)</f>
        <v>98978.69</v>
      </c>
      <c r="E49" s="41">
        <f>SUM(E34:E48)</f>
        <v>69706.94</v>
      </c>
      <c r="F49" s="41">
        <f>SUM(F34:F48)</f>
        <v>0</v>
      </c>
      <c r="G49" s="41">
        <f>SUM(G34:G48)</f>
        <v>2627395.81</v>
      </c>
      <c r="H49" s="124"/>
      <c r="I49" s="124"/>
    </row>
    <row r="50" spans="1:9" ht="12" thickTop="1">
      <c r="A50" s="38" t="s">
        <v>895</v>
      </c>
      <c r="B50" s="2"/>
      <c r="C50" s="41">
        <f>C49+C31</f>
        <v>1090513.8999999999</v>
      </c>
      <c r="D50" s="41">
        <f>D49+D31</f>
        <v>98978.69</v>
      </c>
      <c r="E50" s="41">
        <f>E49+E31</f>
        <v>391601.5</v>
      </c>
      <c r="F50" s="41">
        <f>F49+F31</f>
        <v>0</v>
      </c>
      <c r="G50" s="41">
        <f>G49+G31</f>
        <v>2627395.81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19222462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1042839.5700000001</v>
      </c>
      <c r="D56" s="24" t="s">
        <v>289</v>
      </c>
      <c r="E56" s="95">
        <f>'DOE25'!H78</f>
        <v>76160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2539.2800000000002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75436.570000000007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501013.78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48935.450000000004</v>
      </c>
      <c r="D60" s="95">
        <f>SUM('DOE25'!G97:G109)</f>
        <v>180.45</v>
      </c>
      <c r="E60" s="95">
        <f>SUM('DOE25'!H97:H109)</f>
        <v>20339.59</v>
      </c>
      <c r="F60" s="95">
        <f>SUM('DOE25'!I97:I109)</f>
        <v>0</v>
      </c>
      <c r="G60" s="95">
        <f>SUM('DOE25'!J97:J109)</f>
        <v>107616.69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1094314.3</v>
      </c>
      <c r="D61" s="130">
        <f>SUM(D56:D60)</f>
        <v>501194.23000000004</v>
      </c>
      <c r="E61" s="130">
        <f>SUM(E56:E60)</f>
        <v>96499.59</v>
      </c>
      <c r="F61" s="130">
        <f>SUM(F56:F60)</f>
        <v>0</v>
      </c>
      <c r="G61" s="130">
        <f>SUM(G56:G60)</f>
        <v>183053.26</v>
      </c>
      <c r="H61"/>
      <c r="I61"/>
    </row>
    <row r="62" spans="1:9" ht="12" thickTop="1">
      <c r="A62" s="29" t="s">
        <v>175</v>
      </c>
      <c r="B62" s="6"/>
      <c r="C62" s="22">
        <f>C55+C61</f>
        <v>20316776.300000001</v>
      </c>
      <c r="D62" s="22">
        <f>D55+D61</f>
        <v>501194.23000000004</v>
      </c>
      <c r="E62" s="22">
        <f>E55+E61</f>
        <v>96499.59</v>
      </c>
      <c r="F62" s="22">
        <f>F55+F61</f>
        <v>0</v>
      </c>
      <c r="G62" s="22">
        <f>G55+G61</f>
        <v>183053.26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8238374.9900000002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3171213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7138.01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11416726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366534.04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220800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127469.88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123601.97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9879.25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838405.89</v>
      </c>
      <c r="D77" s="130">
        <f>SUM(D71:D76)</f>
        <v>9879.25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12255131.890000001</v>
      </c>
      <c r="D80" s="130">
        <f>SUM(D78:D79)+D77+D69</f>
        <v>9879.25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298924.41000000003</v>
      </c>
      <c r="D87" s="95">
        <f>SUM('DOE25'!G152:G160)</f>
        <v>325981.87</v>
      </c>
      <c r="E87" s="95">
        <f>SUM('DOE25'!H152:H160)</f>
        <v>1467154.37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298924.41000000003</v>
      </c>
      <c r="D90" s="131">
        <f>SUM(D84:D89)</f>
        <v>325981.87</v>
      </c>
      <c r="E90" s="131">
        <f>SUM(E84:E89)</f>
        <v>1467154.37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221.91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35000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2686.24</v>
      </c>
      <c r="D100" s="95">
        <f>'DOE25'!G188</f>
        <v>0</v>
      </c>
      <c r="E100" s="95">
        <f>'DOE25'!H188</f>
        <v>6525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37908.15</v>
      </c>
      <c r="D102" s="86">
        <f>SUM(D92:D101)</f>
        <v>0</v>
      </c>
      <c r="E102" s="86">
        <f>SUM(E92:E101)</f>
        <v>6525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32908740.75</v>
      </c>
      <c r="D103" s="86">
        <f>D62+D80+D90+D102</f>
        <v>837055.35000000009</v>
      </c>
      <c r="E103" s="86">
        <f>E62+E80+E90+E102</f>
        <v>1570178.9600000002</v>
      </c>
      <c r="F103" s="86">
        <f>F62+F80+F90+F102</f>
        <v>0</v>
      </c>
      <c r="G103" s="86">
        <f>G62+G80+G102</f>
        <v>183053.26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14327353.379999999</v>
      </c>
      <c r="D108" s="24" t="s">
        <v>289</v>
      </c>
      <c r="E108" s="95">
        <f>('DOE25'!L275)+('DOE25'!L294)+('DOE25'!L313)</f>
        <v>183351.09000000003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4934805.8899999997</v>
      </c>
      <c r="D109" s="24" t="s">
        <v>289</v>
      </c>
      <c r="E109" s="95">
        <f>('DOE25'!L276)+('DOE25'!L295)+('DOE25'!L314)</f>
        <v>634417.83000000007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1068076.5499999998</v>
      </c>
      <c r="D110" s="24" t="s">
        <v>289</v>
      </c>
      <c r="E110" s="95">
        <f>('DOE25'!L277)+('DOE25'!L296)+('DOE25'!L315)</f>
        <v>111299.51000000001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306940.24</v>
      </c>
      <c r="D111" s="24" t="s">
        <v>289</v>
      </c>
      <c r="E111" s="95">
        <f>+('DOE25'!L278)+('DOE25'!L297)+('DOE25'!L316)</f>
        <v>39516.369999999995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7392.29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20637176.059999999</v>
      </c>
      <c r="D114" s="86">
        <f>SUM(D108:D113)</f>
        <v>0</v>
      </c>
      <c r="E114" s="86">
        <f>SUM(E108:E113)</f>
        <v>975977.0900000002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2561250.5500000003</v>
      </c>
      <c r="D117" s="24" t="s">
        <v>289</v>
      </c>
      <c r="E117" s="95">
        <f>+('DOE25'!L280)+('DOE25'!L299)+('DOE25'!L318)</f>
        <v>414786.26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469415.29</v>
      </c>
      <c r="D118" s="24" t="s">
        <v>289</v>
      </c>
      <c r="E118" s="95">
        <f>+('DOE25'!L281)+('DOE25'!L300)+('DOE25'!L319)</f>
        <v>89518.87000000001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2050516.1999999997</v>
      </c>
      <c r="D119" s="24" t="s">
        <v>289</v>
      </c>
      <c r="E119" s="95">
        <f>+('DOE25'!L282)+('DOE25'!L301)+('DOE25'!L320)</f>
        <v>84918.029999999984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1828324.07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2667049.11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900305.77</v>
      </c>
      <c r="D123" s="24" t="s">
        <v>289</v>
      </c>
      <c r="E123" s="95">
        <f>+('DOE25'!L286)+('DOE25'!L305)+('DOE25'!L324)</f>
        <v>12448.85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678150.79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844649.0199999999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11155011.780000001</v>
      </c>
      <c r="D127" s="86">
        <f>SUM(D117:D126)</f>
        <v>844649.0199999999</v>
      </c>
      <c r="E127" s="86">
        <f>SUM(E117:E126)</f>
        <v>601672.01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12880.23</v>
      </c>
      <c r="F129" s="129">
        <f>SUM('DOE25'!L373:'DOE25'!L379)</f>
        <v>238924.69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1208069.69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483073.64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221.91</v>
      </c>
      <c r="G133" s="95">
        <f>'DOE25'!K433</f>
        <v>35000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23700.699999999997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159352.55999999997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-183053.25999999995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1691143.33</v>
      </c>
      <c r="D143" s="141">
        <f>SUM(D129:D142)</f>
        <v>0</v>
      </c>
      <c r="E143" s="141">
        <f>SUM(E129:E142)</f>
        <v>12880.23</v>
      </c>
      <c r="F143" s="141">
        <f>SUM(F129:F142)</f>
        <v>239146.6</v>
      </c>
      <c r="G143" s="141">
        <f>SUM(G129:G142)</f>
        <v>35000</v>
      </c>
    </row>
    <row r="144" spans="1:7" ht="12.75" thickTop="1" thickBot="1">
      <c r="A144" s="33" t="s">
        <v>244</v>
      </c>
      <c r="C144" s="86">
        <f>(C114+C127+C143)</f>
        <v>33483331.170000002</v>
      </c>
      <c r="D144" s="86">
        <f>(D114+D127+D143)</f>
        <v>844649.0199999999</v>
      </c>
      <c r="E144" s="86">
        <f>(E114+E127+E143)</f>
        <v>1590529.33</v>
      </c>
      <c r="F144" s="86">
        <f>(F114+F127+F143)</f>
        <v>239146.6</v>
      </c>
      <c r="G144" s="86">
        <f>(G114+G127+G143)</f>
        <v>35000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15</v>
      </c>
      <c r="C150" s="153">
        <f>'DOE25'!G489</f>
        <v>20</v>
      </c>
      <c r="D150" s="153">
        <f>'DOE25'!H489</f>
        <v>20</v>
      </c>
      <c r="E150" s="153">
        <f>'DOE25'!I489</f>
        <v>20</v>
      </c>
      <c r="F150" s="153">
        <f>'DOE25'!J489</f>
        <v>5</v>
      </c>
      <c r="G150" s="24" t="s">
        <v>289</v>
      </c>
    </row>
    <row r="151" spans="1:9">
      <c r="A151" s="136" t="s">
        <v>28</v>
      </c>
      <c r="B151" s="152" t="str">
        <f>'DOE25'!F490</f>
        <v>01/98</v>
      </c>
      <c r="C151" s="152" t="str">
        <f>'DOE25'!G490</f>
        <v>01/08</v>
      </c>
      <c r="D151" s="152" t="str">
        <f>'DOE25'!H490</f>
        <v>01/92</v>
      </c>
      <c r="E151" s="152" t="str">
        <f>'DOE25'!I490</f>
        <v>01/00</v>
      </c>
      <c r="F151" s="152" t="str">
        <f>'DOE25'!J490</f>
        <v>07/10</v>
      </c>
      <c r="G151" s="24" t="s">
        <v>289</v>
      </c>
    </row>
    <row r="152" spans="1:9">
      <c r="A152" s="136" t="s">
        <v>29</v>
      </c>
      <c r="B152" s="152" t="str">
        <f>'DOE25'!F491</f>
        <v>01/13</v>
      </c>
      <c r="C152" s="152" t="str">
        <f>'DOE25'!G491</f>
        <v>01/28</v>
      </c>
      <c r="D152" s="152" t="str">
        <f>'DOE25'!H491</f>
        <v>01/12</v>
      </c>
      <c r="E152" s="152" t="str">
        <f>'DOE25'!I491</f>
        <v>01/20</v>
      </c>
      <c r="F152" s="152" t="str">
        <f>'DOE25'!J491</f>
        <v>07/15</v>
      </c>
      <c r="G152" s="24" t="s">
        <v>289</v>
      </c>
    </row>
    <row r="153" spans="1:9">
      <c r="A153" s="136" t="s">
        <v>30</v>
      </c>
      <c r="B153" s="137">
        <f>'DOE25'!F492</f>
        <v>1292240</v>
      </c>
      <c r="C153" s="137">
        <f>'DOE25'!G492</f>
        <v>4393500</v>
      </c>
      <c r="D153" s="137">
        <f>'DOE25'!H492</f>
        <v>5150000</v>
      </c>
      <c r="E153" s="137">
        <f>'DOE25'!I492</f>
        <v>10895000</v>
      </c>
      <c r="F153" s="137">
        <f>'DOE25'!J492</f>
        <v>438009</v>
      </c>
      <c r="G153" s="24" t="s">
        <v>289</v>
      </c>
    </row>
    <row r="154" spans="1:9">
      <c r="A154" s="136" t="s">
        <v>31</v>
      </c>
      <c r="B154" s="137">
        <f>'DOE25'!F493</f>
        <v>4.62</v>
      </c>
      <c r="C154" s="137">
        <f>'DOE25'!G493</f>
        <v>4.43</v>
      </c>
      <c r="D154" s="137">
        <f>'DOE25'!H493</f>
        <v>6.65</v>
      </c>
      <c r="E154" s="137">
        <f>'DOE25'!I493</f>
        <v>5.58</v>
      </c>
      <c r="F154" s="137">
        <f>'DOE25'!J493</f>
        <v>2.56</v>
      </c>
      <c r="G154" s="24" t="s">
        <v>289</v>
      </c>
    </row>
    <row r="155" spans="1:9">
      <c r="A155" s="22" t="s">
        <v>32</v>
      </c>
      <c r="B155" s="137">
        <f>'DOE25'!F494</f>
        <v>165000</v>
      </c>
      <c r="C155" s="137">
        <f>'DOE25'!G494</f>
        <v>3735000</v>
      </c>
      <c r="D155" s="137">
        <f>'DOE25'!H494</f>
        <v>255000</v>
      </c>
      <c r="E155" s="137">
        <f>'DOE25'!I494</f>
        <v>4900000</v>
      </c>
      <c r="F155" s="137">
        <f>'DOE25'!J494</f>
        <v>438009</v>
      </c>
      <c r="G155" s="138">
        <f>SUM(B155:F155)</f>
        <v>9493009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85000</v>
      </c>
      <c r="C157" s="137">
        <f>'DOE25'!G496</f>
        <v>220000</v>
      </c>
      <c r="D157" s="137">
        <f>'DOE25'!H496</f>
        <v>255000</v>
      </c>
      <c r="E157" s="137">
        <f>'DOE25'!I496</f>
        <v>545000</v>
      </c>
      <c r="F157" s="137">
        <f>'DOE25'!J496</f>
        <v>0</v>
      </c>
      <c r="G157" s="138">
        <f t="shared" si="0"/>
        <v>1105000</v>
      </c>
    </row>
    <row r="158" spans="1:9">
      <c r="A158" s="22" t="s">
        <v>35</v>
      </c>
      <c r="B158" s="137">
        <f>'DOE25'!F497</f>
        <v>80000</v>
      </c>
      <c r="C158" s="137">
        <f>'DOE25'!G497</f>
        <v>3515000</v>
      </c>
      <c r="D158" s="137">
        <f>'DOE25'!H497</f>
        <v>0</v>
      </c>
      <c r="E158" s="137">
        <f>'DOE25'!I497</f>
        <v>4355000</v>
      </c>
      <c r="F158" s="137">
        <f>'DOE25'!J497</f>
        <v>256329</v>
      </c>
      <c r="G158" s="138">
        <f t="shared" si="0"/>
        <v>8206329</v>
      </c>
    </row>
    <row r="159" spans="1:9">
      <c r="A159" s="22" t="s">
        <v>36</v>
      </c>
      <c r="B159" s="137">
        <f>'DOE25'!F498</f>
        <v>3930</v>
      </c>
      <c r="C159" s="137">
        <f>'DOE25'!G498</f>
        <v>1305500</v>
      </c>
      <c r="D159" s="137">
        <f>'DOE25'!H498</f>
        <v>0</v>
      </c>
      <c r="E159" s="137">
        <f>'DOE25'!I498</f>
        <v>1109091</v>
      </c>
      <c r="F159" s="137">
        <f>'DOE25'!J498</f>
        <v>12378</v>
      </c>
      <c r="G159" s="138">
        <f t="shared" si="0"/>
        <v>2430899</v>
      </c>
    </row>
    <row r="160" spans="1:9">
      <c r="A160" s="22" t="s">
        <v>37</v>
      </c>
      <c r="B160" s="137">
        <f>'DOE25'!F499</f>
        <v>83930</v>
      </c>
      <c r="C160" s="137">
        <f>'DOE25'!G499</f>
        <v>4820500</v>
      </c>
      <c r="D160" s="137">
        <f>'DOE25'!H499</f>
        <v>0</v>
      </c>
      <c r="E160" s="137">
        <f>'DOE25'!I499</f>
        <v>5464091</v>
      </c>
      <c r="F160" s="137">
        <f>'DOE25'!J499</f>
        <v>268707</v>
      </c>
      <c r="G160" s="138">
        <f t="shared" si="0"/>
        <v>10637228</v>
      </c>
    </row>
    <row r="161" spans="1:7">
      <c r="A161" s="22" t="s">
        <v>38</v>
      </c>
      <c r="B161" s="137">
        <f>'DOE25'!F500</f>
        <v>80000</v>
      </c>
      <c r="C161" s="137">
        <f>'DOE25'!G500</f>
        <v>220000</v>
      </c>
      <c r="D161" s="137">
        <f>'DOE25'!H500</f>
        <v>0</v>
      </c>
      <c r="E161" s="137">
        <f>'DOE25'!I500</f>
        <v>545000</v>
      </c>
      <c r="F161" s="137">
        <f>'DOE25'!J500</f>
        <v>94355</v>
      </c>
      <c r="G161" s="138">
        <f t="shared" si="0"/>
        <v>939355</v>
      </c>
    </row>
    <row r="162" spans="1:7">
      <c r="A162" s="22" t="s">
        <v>39</v>
      </c>
      <c r="B162" s="137">
        <f>'DOE25'!F501</f>
        <v>3930</v>
      </c>
      <c r="C162" s="137">
        <f>'DOE25'!G501</f>
        <v>160656</v>
      </c>
      <c r="D162" s="137">
        <f>'DOE25'!H501</f>
        <v>0</v>
      </c>
      <c r="E162" s="137">
        <f>'DOE25'!I501</f>
        <v>244826</v>
      </c>
      <c r="F162" s="137">
        <f>'DOE25'!J501</f>
        <v>6562</v>
      </c>
      <c r="G162" s="138">
        <f t="shared" si="0"/>
        <v>415974</v>
      </c>
    </row>
    <row r="163" spans="1:7">
      <c r="A163" s="22" t="s">
        <v>246</v>
      </c>
      <c r="B163" s="137">
        <f>'DOE25'!F502</f>
        <v>83930</v>
      </c>
      <c r="C163" s="137">
        <f>'DOE25'!G502</f>
        <v>380656</v>
      </c>
      <c r="D163" s="137">
        <f>'DOE25'!H502</f>
        <v>0</v>
      </c>
      <c r="E163" s="137">
        <f>'DOE25'!I502</f>
        <v>789826</v>
      </c>
      <c r="F163" s="137">
        <f>'DOE25'!J502</f>
        <v>100917</v>
      </c>
      <c r="G163" s="138">
        <f t="shared" si="0"/>
        <v>1355329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5"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8" t="s">
        <v>740</v>
      </c>
      <c r="B1" s="278"/>
      <c r="C1" s="278"/>
      <c r="D1" s="278"/>
    </row>
    <row r="2" spans="1:4">
      <c r="A2" s="187" t="s">
        <v>717</v>
      </c>
      <c r="B2" s="186" t="str">
        <f>'DOE25'!A2</f>
        <v>MILFORD SCHOOL DISTRICT SAU #40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11819</v>
      </c>
    </row>
    <row r="5" spans="1:4">
      <c r="B5" t="s">
        <v>704</v>
      </c>
      <c r="C5" s="179">
        <f>IF('DOE25'!G664+'DOE25'!G669=0,0,ROUND('DOE25'!G671,0))</f>
        <v>12231</v>
      </c>
    </row>
    <row r="6" spans="1:4">
      <c r="B6" t="s">
        <v>62</v>
      </c>
      <c r="C6" s="179">
        <f>IF('DOE25'!H664+'DOE25'!H669=0,0,ROUND('DOE25'!H671,0))</f>
        <v>12520</v>
      </c>
    </row>
    <row r="7" spans="1:4">
      <c r="B7" t="s">
        <v>705</v>
      </c>
      <c r="C7" s="179">
        <f>IF('DOE25'!I664+'DOE25'!I669=0,0,ROUND('DOE25'!I671,0))</f>
        <v>12163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14510704</v>
      </c>
      <c r="D10" s="182">
        <f>ROUND((C10/$C$28)*100,1)</f>
        <v>42.4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5569224</v>
      </c>
      <c r="D11" s="182">
        <f>ROUND((C11/$C$28)*100,1)</f>
        <v>16.3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1179376</v>
      </c>
      <c r="D12" s="182">
        <f>ROUND((C12/$C$28)*100,1)</f>
        <v>3.4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346457</v>
      </c>
      <c r="D13" s="182">
        <f>ROUND((C13/$C$28)*100,1)</f>
        <v>1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2976037</v>
      </c>
      <c r="D15" s="182">
        <f t="shared" ref="D15:D27" si="0">ROUND((C15/$C$28)*100,1)</f>
        <v>8.6999999999999993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558934</v>
      </c>
      <c r="D16" s="182">
        <f t="shared" si="0"/>
        <v>1.6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2813585</v>
      </c>
      <c r="D17" s="182">
        <f t="shared" si="0"/>
        <v>8.1999999999999993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1828324</v>
      </c>
      <c r="D18" s="182">
        <f t="shared" si="0"/>
        <v>5.3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2667049</v>
      </c>
      <c r="D20" s="182">
        <f t="shared" si="0"/>
        <v>7.8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912755</v>
      </c>
      <c r="D21" s="182">
        <f t="shared" si="0"/>
        <v>2.7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7392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483074</v>
      </c>
      <c r="D25" s="182">
        <f t="shared" si="0"/>
        <v>1.4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343454.76999999996</v>
      </c>
      <c r="D27" s="182">
        <f t="shared" si="0"/>
        <v>1</v>
      </c>
    </row>
    <row r="28" spans="1:4">
      <c r="B28" s="187" t="s">
        <v>723</v>
      </c>
      <c r="C28" s="180">
        <f>SUM(C10:C27)</f>
        <v>34196365.770000003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251805</v>
      </c>
    </row>
    <row r="30" spans="1:4">
      <c r="B30" s="187" t="s">
        <v>729</v>
      </c>
      <c r="C30" s="180">
        <f>SUM(C28:C29)</f>
        <v>34448170.770000003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1208070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19222462</v>
      </c>
      <c r="D35" s="182">
        <f t="shared" ref="D35:D40" si="1">ROUND((C35/$C$41)*100,1)</f>
        <v>55</v>
      </c>
    </row>
    <row r="36" spans="1:4">
      <c r="B36" s="185" t="s">
        <v>743</v>
      </c>
      <c r="C36" s="179">
        <f>SUM('DOE25'!F111:J111)-SUM('DOE25'!G96:G109)+('DOE25'!F173+'DOE25'!F174+'DOE25'!I173+'DOE25'!I174)-C35</f>
        <v>1373867.1500000022</v>
      </c>
      <c r="D36" s="182">
        <f t="shared" si="1"/>
        <v>3.9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11416726</v>
      </c>
      <c r="D37" s="182">
        <f t="shared" si="1"/>
        <v>32.700000000000003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848285</v>
      </c>
      <c r="D38" s="182">
        <f t="shared" si="1"/>
        <v>2.4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2092061</v>
      </c>
      <c r="D39" s="182">
        <f t="shared" si="1"/>
        <v>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9211</v>
      </c>
      <c r="D40" s="182">
        <f t="shared" si="1"/>
        <v>0</v>
      </c>
    </row>
    <row r="41" spans="1:4">
      <c r="B41" s="187" t="s">
        <v>736</v>
      </c>
      <c r="C41" s="180">
        <f>SUM(C35:C40)</f>
        <v>34962612.150000006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7" sqref="C7:M7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4"/>
      <c r="K1" s="214"/>
      <c r="L1" s="214"/>
      <c r="M1" s="215"/>
    </row>
    <row r="2" spans="1:26" ht="12.75">
      <c r="A2" s="295" t="s">
        <v>767</v>
      </c>
      <c r="B2" s="296"/>
      <c r="C2" s="296"/>
      <c r="D2" s="296"/>
      <c r="E2" s="296"/>
      <c r="F2" s="289" t="str">
        <f>'DOE25'!A2</f>
        <v>MILFORD SCHOOL DISTRICT SAU #40</v>
      </c>
      <c r="G2" s="290"/>
      <c r="H2" s="290"/>
      <c r="I2" s="290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>
      <c r="A4" s="219"/>
      <c r="B4" s="220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8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8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12"/>
      <c r="O29" s="212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8"/>
      <c r="AB29" s="208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8"/>
      <c r="AO29" s="208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8"/>
      <c r="BB29" s="208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8"/>
      <c r="BO29" s="208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8"/>
      <c r="CB29" s="208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8"/>
      <c r="CO29" s="208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8"/>
      <c r="DB29" s="208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8"/>
      <c r="DO29" s="208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8"/>
      <c r="EB29" s="208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8"/>
      <c r="EO29" s="208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8"/>
      <c r="FB29" s="208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8"/>
      <c r="FO29" s="208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8"/>
      <c r="GB29" s="208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8"/>
      <c r="GO29" s="208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8"/>
      <c r="HB29" s="208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8"/>
      <c r="HO29" s="208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8"/>
      <c r="IB29" s="208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8"/>
      <c r="IO29" s="208"/>
      <c r="IP29" s="292"/>
      <c r="IQ29" s="292"/>
      <c r="IR29" s="292"/>
      <c r="IS29" s="292"/>
      <c r="IT29" s="292"/>
      <c r="IU29" s="292"/>
      <c r="IV29" s="292"/>
    </row>
    <row r="30" spans="1:256">
      <c r="A30" s="219"/>
      <c r="B30" s="220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12"/>
      <c r="O30" s="212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8"/>
      <c r="AB30" s="208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8"/>
      <c r="AO30" s="208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8"/>
      <c r="BB30" s="208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8"/>
      <c r="BO30" s="208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8"/>
      <c r="CB30" s="208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8"/>
      <c r="CO30" s="208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8"/>
      <c r="DB30" s="208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8"/>
      <c r="DO30" s="208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8"/>
      <c r="EB30" s="208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8"/>
      <c r="EO30" s="208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8"/>
      <c r="FB30" s="208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8"/>
      <c r="FO30" s="208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8"/>
      <c r="GB30" s="208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8"/>
      <c r="GO30" s="208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8"/>
      <c r="HB30" s="208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8"/>
      <c r="HO30" s="208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8"/>
      <c r="IB30" s="208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8"/>
      <c r="IO30" s="208"/>
      <c r="IP30" s="292"/>
      <c r="IQ30" s="292"/>
      <c r="IR30" s="292"/>
      <c r="IS30" s="292"/>
      <c r="IT30" s="292"/>
      <c r="IU30" s="292"/>
      <c r="IV30" s="292"/>
    </row>
    <row r="31" spans="1:256">
      <c r="A31" s="219"/>
      <c r="B31" s="220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12"/>
      <c r="O31" s="212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8"/>
      <c r="AB31" s="208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8"/>
      <c r="AO31" s="208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8"/>
      <c r="BB31" s="208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8"/>
      <c r="BO31" s="208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8"/>
      <c r="CB31" s="208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8"/>
      <c r="CO31" s="208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8"/>
      <c r="DB31" s="208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8"/>
      <c r="DO31" s="208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8"/>
      <c r="EB31" s="208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8"/>
      <c r="EO31" s="208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8"/>
      <c r="FB31" s="208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8"/>
      <c r="FO31" s="208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8"/>
      <c r="GB31" s="208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8"/>
      <c r="GO31" s="208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8"/>
      <c r="HB31" s="208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8"/>
      <c r="HO31" s="208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8"/>
      <c r="IB31" s="208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8"/>
      <c r="IO31" s="208"/>
      <c r="IP31" s="292"/>
      <c r="IQ31" s="292"/>
      <c r="IR31" s="292"/>
      <c r="IS31" s="292"/>
      <c r="IT31" s="292"/>
      <c r="IU31" s="292"/>
      <c r="IV31" s="292"/>
    </row>
    <row r="32" spans="1:256">
      <c r="A32" s="219"/>
      <c r="B32" s="220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24"/>
      <c r="O32" s="224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9"/>
      <c r="AB32" s="220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9"/>
      <c r="AO32" s="220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9"/>
      <c r="BB32" s="220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9"/>
      <c r="BO32" s="220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9"/>
      <c r="CB32" s="220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9"/>
      <c r="CO32" s="220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9"/>
      <c r="DB32" s="220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9"/>
      <c r="DO32" s="220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9"/>
      <c r="EB32" s="220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9"/>
      <c r="EO32" s="220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9"/>
      <c r="FB32" s="220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9"/>
      <c r="FO32" s="220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9"/>
      <c r="GB32" s="220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9"/>
      <c r="GO32" s="220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9"/>
      <c r="HB32" s="220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9"/>
      <c r="HO32" s="220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9"/>
      <c r="IB32" s="220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9"/>
      <c r="IO32" s="220"/>
      <c r="IP32" s="279"/>
      <c r="IQ32" s="279"/>
      <c r="IR32" s="279"/>
      <c r="IS32" s="279"/>
      <c r="IT32" s="279"/>
      <c r="IU32" s="279"/>
      <c r="IV32" s="279"/>
    </row>
    <row r="33" spans="1:256">
      <c r="A33" s="219"/>
      <c r="B33" s="220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12"/>
      <c r="O38" s="212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8"/>
      <c r="AB38" s="208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8"/>
      <c r="AO38" s="208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8"/>
      <c r="BB38" s="208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8"/>
      <c r="BO38" s="208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8"/>
      <c r="CB38" s="208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8"/>
      <c r="CO38" s="208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8"/>
      <c r="DB38" s="208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8"/>
      <c r="DO38" s="208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8"/>
      <c r="EB38" s="208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8"/>
      <c r="EO38" s="208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8"/>
      <c r="FB38" s="208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8"/>
      <c r="FO38" s="208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8"/>
      <c r="GB38" s="208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8"/>
      <c r="GO38" s="208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8"/>
      <c r="HB38" s="208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8"/>
      <c r="HO38" s="208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8"/>
      <c r="IB38" s="208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8"/>
      <c r="IO38" s="208"/>
      <c r="IP38" s="292"/>
      <c r="IQ38" s="292"/>
      <c r="IR38" s="292"/>
      <c r="IS38" s="292"/>
      <c r="IT38" s="292"/>
      <c r="IU38" s="292"/>
      <c r="IV38" s="292"/>
    </row>
    <row r="39" spans="1:256">
      <c r="A39" s="219"/>
      <c r="B39" s="220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12"/>
      <c r="O39" s="212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8"/>
      <c r="AB39" s="208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8"/>
      <c r="AO39" s="208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8"/>
      <c r="BB39" s="208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8"/>
      <c r="BO39" s="208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8"/>
      <c r="CB39" s="208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8"/>
      <c r="CO39" s="208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8"/>
      <c r="DB39" s="208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8"/>
      <c r="DO39" s="208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8"/>
      <c r="EB39" s="208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8"/>
      <c r="EO39" s="208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8"/>
      <c r="FB39" s="208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8"/>
      <c r="FO39" s="208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8"/>
      <c r="GB39" s="208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8"/>
      <c r="GO39" s="208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8"/>
      <c r="HB39" s="208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8"/>
      <c r="HO39" s="208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8"/>
      <c r="IB39" s="208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8"/>
      <c r="IO39" s="208"/>
      <c r="IP39" s="292"/>
      <c r="IQ39" s="292"/>
      <c r="IR39" s="292"/>
      <c r="IS39" s="292"/>
      <c r="IT39" s="292"/>
      <c r="IU39" s="292"/>
      <c r="IV39" s="292"/>
    </row>
    <row r="40" spans="1:256">
      <c r="A40" s="219"/>
      <c r="B40" s="220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12"/>
      <c r="O40" s="212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8"/>
      <c r="AB40" s="208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8"/>
      <c r="AO40" s="208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8"/>
      <c r="BB40" s="208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8"/>
      <c r="BO40" s="208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8"/>
      <c r="CB40" s="208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8"/>
      <c r="CO40" s="208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8"/>
      <c r="DB40" s="208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8"/>
      <c r="DO40" s="208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8"/>
      <c r="EB40" s="208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8"/>
      <c r="EO40" s="208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8"/>
      <c r="FB40" s="208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8"/>
      <c r="FO40" s="208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8"/>
      <c r="GB40" s="208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8"/>
      <c r="GO40" s="208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8"/>
      <c r="HB40" s="208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8"/>
      <c r="HO40" s="208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8"/>
      <c r="IB40" s="208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8"/>
      <c r="IO40" s="208"/>
      <c r="IP40" s="292"/>
      <c r="IQ40" s="292"/>
      <c r="IR40" s="292"/>
      <c r="IS40" s="292"/>
      <c r="IT40" s="292"/>
      <c r="IU40" s="292"/>
      <c r="IV40" s="292"/>
    </row>
    <row r="41" spans="1:256">
      <c r="A41" s="219"/>
      <c r="B41" s="220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>
      <c r="A60" s="219"/>
      <c r="B60" s="220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>
      <c r="A61" s="219"/>
      <c r="B61" s="220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>
      <c r="A62" s="219"/>
      <c r="B62" s="220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>
      <c r="A63" s="219"/>
      <c r="B63" s="220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>
      <c r="A64" s="219"/>
      <c r="B64" s="220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>
      <c r="A65" s="219"/>
      <c r="B65" s="220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>
      <c r="A66" s="219"/>
      <c r="B66" s="220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>
      <c r="A67" s="219"/>
      <c r="B67" s="220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>
      <c r="A68" s="219"/>
      <c r="B68" s="220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>
      <c r="A69" s="219"/>
      <c r="B69" s="220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>
      <c r="A70" s="221"/>
      <c r="B70" s="22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3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4" t="s">
        <v>848</v>
      </c>
      <c r="B72" s="284"/>
      <c r="C72" s="284"/>
      <c r="D72" s="284"/>
      <c r="E72" s="284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>
      <c r="A74" s="212"/>
      <c r="B74" s="212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>
      <c r="A75" s="212"/>
      <c r="B75" s="212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>
      <c r="A76" s="212"/>
      <c r="B76" s="212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>
      <c r="A77" s="212"/>
      <c r="B77" s="212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>
      <c r="A78" s="212"/>
      <c r="B78" s="212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>
      <c r="A79" s="212"/>
      <c r="B79" s="212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>
      <c r="A80" s="212"/>
      <c r="B80" s="212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>
      <c r="A81" s="212"/>
      <c r="B81" s="212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>
      <c r="A82" s="212"/>
      <c r="B82" s="212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>
      <c r="A83" s="212"/>
      <c r="B83" s="212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>
      <c r="A84" s="212"/>
      <c r="B84" s="212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>
      <c r="A85" s="212"/>
      <c r="B85" s="212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>
      <c r="A86" s="212"/>
      <c r="B86" s="212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>
      <c r="A87" s="212"/>
      <c r="B87" s="212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>
      <c r="A88" s="212"/>
      <c r="B88" s="212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>
      <c r="A89" s="212"/>
      <c r="B89" s="212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>
      <c r="A90" s="212"/>
      <c r="B90" s="212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2012-09-07T15:30:59Z</cp:lastPrinted>
  <dcterms:created xsi:type="dcterms:W3CDTF">1997-12-04T19:04:30Z</dcterms:created>
  <dcterms:modified xsi:type="dcterms:W3CDTF">2012-11-21T15:02:49Z</dcterms:modified>
</cp:coreProperties>
</file>