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39" i="12"/>
  <c r="C30" i="12"/>
  <c r="B30" i="12"/>
  <c r="B21" i="12"/>
  <c r="C21" i="12"/>
  <c r="C12" i="12"/>
  <c r="B12" i="12"/>
  <c r="I603" i="1"/>
  <c r="J603" i="1"/>
  <c r="H603" i="1"/>
  <c r="J590" i="1"/>
  <c r="J591" i="1"/>
  <c r="I591" i="1"/>
  <c r="I590" i="1"/>
  <c r="H590" i="1"/>
  <c r="H591" i="1"/>
  <c r="J522" i="1" l="1"/>
  <c r="F501" i="1"/>
  <c r="F498" i="1"/>
  <c r="F495" i="1"/>
  <c r="J471" i="1"/>
  <c r="J467" i="1"/>
  <c r="I467" i="1"/>
  <c r="H467" i="1"/>
  <c r="G467" i="1"/>
  <c r="F467" i="1"/>
  <c r="K522" i="1"/>
  <c r="K216" i="1"/>
  <c r="K521" i="1"/>
  <c r="K208" i="1"/>
  <c r="K520" i="1"/>
  <c r="J241" i="1"/>
  <c r="H241" i="1"/>
  <c r="J223" i="1"/>
  <c r="J521" i="1"/>
  <c r="J520" i="1"/>
  <c r="I205" i="1"/>
  <c r="G241" i="1"/>
  <c r="G522" i="1"/>
  <c r="G223" i="1"/>
  <c r="G521" i="1"/>
  <c r="G205" i="1"/>
  <c r="G520" i="1"/>
  <c r="F522" i="1"/>
  <c r="F521" i="1"/>
  <c r="F520" i="1"/>
  <c r="H154" i="1" l="1"/>
  <c r="H145" i="1"/>
  <c r="H153" i="1"/>
  <c r="F82" i="1"/>
  <c r="F109" i="1"/>
  <c r="I47" i="1" l="1"/>
  <c r="F9" i="1"/>
  <c r="F49" i="1"/>
  <c r="I522" i="1"/>
  <c r="I520" i="1"/>
  <c r="I521" i="1" l="1"/>
  <c r="H520" i="1"/>
  <c r="F40" i="2"/>
  <c r="D39" i="2"/>
  <c r="H522" i="1" l="1"/>
  <c r="H521" i="1"/>
  <c r="G654" i="1"/>
  <c r="F47" i="2" l="1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G17" i="13"/>
  <c r="F18" i="13"/>
  <c r="G18" i="13"/>
  <c r="L251" i="1"/>
  <c r="F19" i="13"/>
  <c r="G19" i="13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6" i="1" s="1"/>
  <c r="C139" i="2" s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C57" i="2" s="1"/>
  <c r="F110" i="1"/>
  <c r="G110" i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I161" i="1"/>
  <c r="L249" i="1"/>
  <c r="L331" i="1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C31" i="2" s="1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2" i="2"/>
  <c r="E113" i="2"/>
  <c r="D114" i="2"/>
  <c r="F114" i="2"/>
  <c r="G114" i="2"/>
  <c r="E117" i="2"/>
  <c r="E120" i="2"/>
  <c r="E121" i="2"/>
  <c r="E122" i="2"/>
  <c r="E123" i="2"/>
  <c r="E124" i="2"/>
  <c r="F127" i="2"/>
  <c r="G127" i="2"/>
  <c r="E129" i="2"/>
  <c r="D133" i="2"/>
  <c r="D143" i="2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G622" i="1" s="1"/>
  <c r="H50" i="1"/>
  <c r="H51" i="1" s="1"/>
  <c r="H618" i="1" s="1"/>
  <c r="I50" i="1"/>
  <c r="I51" i="1" s="1"/>
  <c r="H619" i="1" s="1"/>
  <c r="F176" i="1"/>
  <c r="I176" i="1"/>
  <c r="F182" i="1"/>
  <c r="G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H255" i="1" s="1"/>
  <c r="I246" i="1"/>
  <c r="J246" i="1"/>
  <c r="K246" i="1"/>
  <c r="F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I407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I451" i="1"/>
  <c r="F459" i="1"/>
  <c r="G459" i="1"/>
  <c r="H459" i="1"/>
  <c r="I459" i="1"/>
  <c r="F460" i="1"/>
  <c r="H638" i="1" s="1"/>
  <c r="G460" i="1"/>
  <c r="F469" i="1"/>
  <c r="G469" i="1"/>
  <c r="H469" i="1"/>
  <c r="I469" i="1"/>
  <c r="J469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1" i="1"/>
  <c r="H626" i="1"/>
  <c r="H627" i="1"/>
  <c r="H628" i="1"/>
  <c r="H629" i="1"/>
  <c r="H630" i="1"/>
  <c r="H636" i="1"/>
  <c r="H637" i="1"/>
  <c r="H639" i="1"/>
  <c r="G642" i="1"/>
  <c r="G643" i="1"/>
  <c r="G651" i="1"/>
  <c r="H651" i="1"/>
  <c r="G652" i="1"/>
  <c r="H652" i="1"/>
  <c r="G653" i="1"/>
  <c r="H653" i="1"/>
  <c r="H654" i="1"/>
  <c r="C18" i="2"/>
  <c r="C26" i="10"/>
  <c r="C69" i="2"/>
  <c r="F77" i="2"/>
  <c r="F80" i="2" s="1"/>
  <c r="E31" i="2"/>
  <c r="L613" i="1" l="1"/>
  <c r="I662" i="1"/>
  <c r="L543" i="1"/>
  <c r="L528" i="1"/>
  <c r="C32" i="10"/>
  <c r="I368" i="1"/>
  <c r="H633" i="1" s="1"/>
  <c r="F544" i="1"/>
  <c r="L538" i="1"/>
  <c r="L523" i="1"/>
  <c r="G159" i="2"/>
  <c r="G160" i="2"/>
  <c r="G161" i="2"/>
  <c r="G162" i="2"/>
  <c r="G156" i="2"/>
  <c r="K502" i="1"/>
  <c r="G157" i="2"/>
  <c r="G155" i="2"/>
  <c r="H433" i="1"/>
  <c r="D126" i="2"/>
  <c r="D127" i="2" s="1"/>
  <c r="D144" i="2" s="1"/>
  <c r="I460" i="1"/>
  <c r="H641" i="1" s="1"/>
  <c r="H460" i="1"/>
  <c r="H640" i="1" s="1"/>
  <c r="J640" i="1" s="1"/>
  <c r="I445" i="1"/>
  <c r="G641" i="1" s="1"/>
  <c r="I433" i="1"/>
  <c r="K433" i="1"/>
  <c r="G133" i="2" s="1"/>
  <c r="G143" i="2" s="1"/>
  <c r="G144" i="2" s="1"/>
  <c r="G433" i="1"/>
  <c r="F407" i="1"/>
  <c r="H642" i="1" s="1"/>
  <c r="J642" i="1" s="1"/>
  <c r="H407" i="1"/>
  <c r="H643" i="1" s="1"/>
  <c r="J643" i="1" s="1"/>
  <c r="L381" i="1"/>
  <c r="F129" i="2"/>
  <c r="F143" i="2" s="1"/>
  <c r="F144" i="2" s="1"/>
  <c r="L361" i="1"/>
  <c r="F660" i="1"/>
  <c r="G660" i="1"/>
  <c r="D29" i="13"/>
  <c r="C29" i="13" s="1"/>
  <c r="H660" i="1"/>
  <c r="E143" i="2"/>
  <c r="L350" i="1"/>
  <c r="C108" i="2"/>
  <c r="L327" i="1"/>
  <c r="H661" i="1"/>
  <c r="E119" i="2"/>
  <c r="E118" i="2"/>
  <c r="E127" i="2" s="1"/>
  <c r="G31" i="13"/>
  <c r="G33" i="13" s="1"/>
  <c r="I337" i="1"/>
  <c r="I351" i="1" s="1"/>
  <c r="J337" i="1"/>
  <c r="J351" i="1" s="1"/>
  <c r="F31" i="13"/>
  <c r="K337" i="1"/>
  <c r="K351" i="1" s="1"/>
  <c r="E108" i="2"/>
  <c r="E114" i="2" s="1"/>
  <c r="L289" i="1"/>
  <c r="J651" i="1"/>
  <c r="D18" i="13"/>
  <c r="C18" i="13" s="1"/>
  <c r="G650" i="1"/>
  <c r="J650" i="1" s="1"/>
  <c r="D6" i="13"/>
  <c r="C6" i="13" s="1"/>
  <c r="H646" i="1"/>
  <c r="L253" i="1"/>
  <c r="C123" i="2" s="1"/>
  <c r="C10" i="10"/>
  <c r="E8" i="13"/>
  <c r="C8" i="13" s="1"/>
  <c r="C119" i="2"/>
  <c r="C118" i="2"/>
  <c r="C17" i="10"/>
  <c r="C20" i="10"/>
  <c r="C18" i="10"/>
  <c r="D7" i="13"/>
  <c r="C7" i="13" s="1"/>
  <c r="C15" i="10"/>
  <c r="C13" i="10"/>
  <c r="L246" i="1"/>
  <c r="A31" i="12"/>
  <c r="C110" i="2"/>
  <c r="G649" i="1"/>
  <c r="J649" i="1" s="1"/>
  <c r="G661" i="1"/>
  <c r="C21" i="10"/>
  <c r="D15" i="13"/>
  <c r="C15" i="13" s="1"/>
  <c r="C122" i="2"/>
  <c r="D14" i="13"/>
  <c r="C14" i="13" s="1"/>
  <c r="D12" i="13"/>
  <c r="C12" i="13" s="1"/>
  <c r="C120" i="2"/>
  <c r="I256" i="1"/>
  <c r="I270" i="1" s="1"/>
  <c r="K256" i="1"/>
  <c r="K270" i="1" s="1"/>
  <c r="C19" i="10"/>
  <c r="C117" i="2"/>
  <c r="C111" i="2"/>
  <c r="L228" i="1"/>
  <c r="C12" i="10"/>
  <c r="C11" i="10"/>
  <c r="F256" i="1"/>
  <c r="F270" i="1" s="1"/>
  <c r="C124" i="2"/>
  <c r="J648" i="1"/>
  <c r="F661" i="1"/>
  <c r="E13" i="13"/>
  <c r="C13" i="13" s="1"/>
  <c r="C121" i="2"/>
  <c r="C16" i="10"/>
  <c r="G102" i="2"/>
  <c r="G644" i="1"/>
  <c r="J644" i="1" s="1"/>
  <c r="A22" i="12"/>
  <c r="F102" i="2"/>
  <c r="J653" i="1"/>
  <c r="I191" i="1"/>
  <c r="C109" i="2"/>
  <c r="L210" i="1"/>
  <c r="J652" i="1"/>
  <c r="E90" i="2"/>
  <c r="I139" i="1"/>
  <c r="E61" i="2"/>
  <c r="E62" i="2" s="1"/>
  <c r="F61" i="2"/>
  <c r="F62" i="2" s="1"/>
  <c r="D102" i="2"/>
  <c r="D90" i="2"/>
  <c r="G168" i="1"/>
  <c r="G139" i="1"/>
  <c r="D61" i="2"/>
  <c r="D62" i="2" s="1"/>
  <c r="G111" i="1"/>
  <c r="F191" i="1"/>
  <c r="C102" i="2"/>
  <c r="C90" i="2"/>
  <c r="C77" i="2"/>
  <c r="F139" i="1"/>
  <c r="C61" i="2"/>
  <c r="C62" i="2" s="1"/>
  <c r="E49" i="2"/>
  <c r="E50" i="2" s="1"/>
  <c r="F49" i="2"/>
  <c r="F31" i="2"/>
  <c r="E18" i="2"/>
  <c r="F18" i="2"/>
  <c r="J619" i="1"/>
  <c r="G623" i="1"/>
  <c r="G624" i="1"/>
  <c r="J618" i="1"/>
  <c r="D31" i="2"/>
  <c r="D50" i="2" s="1"/>
  <c r="G51" i="1"/>
  <c r="H617" i="1" s="1"/>
  <c r="J617" i="1" s="1"/>
  <c r="D18" i="2"/>
  <c r="F51" i="1"/>
  <c r="H616" i="1" s="1"/>
  <c r="J616" i="1" s="1"/>
  <c r="C80" i="2"/>
  <c r="E77" i="2"/>
  <c r="E80" i="2" s="1"/>
  <c r="L426" i="1"/>
  <c r="J256" i="1"/>
  <c r="H647" i="1" s="1"/>
  <c r="H111" i="1"/>
  <c r="F111" i="1"/>
  <c r="J638" i="1"/>
  <c r="K604" i="1"/>
  <c r="G647" i="1" s="1"/>
  <c r="J570" i="1"/>
  <c r="K570" i="1"/>
  <c r="L432" i="1"/>
  <c r="L418" i="1"/>
  <c r="D80" i="2"/>
  <c r="I168" i="1"/>
  <c r="H168" i="1"/>
  <c r="G551" i="1"/>
  <c r="J475" i="1"/>
  <c r="H625" i="1" s="1"/>
  <c r="G337" i="1"/>
  <c r="G351" i="1" s="1"/>
  <c r="C23" i="10"/>
  <c r="F168" i="1"/>
  <c r="J139" i="1"/>
  <c r="F570" i="1"/>
  <c r="H256" i="1"/>
  <c r="H270" i="1" s="1"/>
  <c r="G62" i="2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F551" i="1"/>
  <c r="C35" i="10"/>
  <c r="L308" i="1"/>
  <c r="D5" i="13"/>
  <c r="E16" i="13"/>
  <c r="C49" i="2"/>
  <c r="C50" i="2" s="1"/>
  <c r="J654" i="1"/>
  <c r="J192" i="1"/>
  <c r="L569" i="1"/>
  <c r="I570" i="1"/>
  <c r="I544" i="1"/>
  <c r="G36" i="2"/>
  <c r="G49" i="2" s="1"/>
  <c r="J50" i="1"/>
  <c r="L564" i="1"/>
  <c r="G544" i="1"/>
  <c r="H544" i="1"/>
  <c r="K550" i="1"/>
  <c r="J647" i="1" l="1"/>
  <c r="L570" i="1"/>
  <c r="G635" i="1"/>
  <c r="I471" i="1"/>
  <c r="H635" i="1" s="1"/>
  <c r="K551" i="1"/>
  <c r="L544" i="1"/>
  <c r="I473" i="1"/>
  <c r="I475" i="1" s="1"/>
  <c r="H624" i="1" s="1"/>
  <c r="J624" i="1" s="1"/>
  <c r="C27" i="10"/>
  <c r="G471" i="1"/>
  <c r="J641" i="1"/>
  <c r="G50" i="2"/>
  <c r="L433" i="1"/>
  <c r="G637" i="1" s="1"/>
  <c r="J637" i="1" s="1"/>
  <c r="G634" i="1"/>
  <c r="I660" i="1"/>
  <c r="H659" i="1"/>
  <c r="H663" i="1" s="1"/>
  <c r="H666" i="1" s="1"/>
  <c r="E144" i="2"/>
  <c r="F659" i="1"/>
  <c r="F663" i="1" s="1"/>
  <c r="F666" i="1" s="1"/>
  <c r="J646" i="1"/>
  <c r="L252" i="1"/>
  <c r="D19" i="13" s="1"/>
  <c r="C19" i="13" s="1"/>
  <c r="L250" i="1"/>
  <c r="I661" i="1"/>
  <c r="C127" i="2"/>
  <c r="J270" i="1"/>
  <c r="G103" i="2"/>
  <c r="F103" i="2"/>
  <c r="E96" i="2"/>
  <c r="E102" i="2" s="1"/>
  <c r="E103" i="2" s="1"/>
  <c r="H182" i="1"/>
  <c r="H191" i="1" s="1"/>
  <c r="H192" i="1" s="1"/>
  <c r="G628" i="1" s="1"/>
  <c r="J628" i="1" s="1"/>
  <c r="I192" i="1"/>
  <c r="G629" i="1" s="1"/>
  <c r="J629" i="1" s="1"/>
  <c r="C39" i="10"/>
  <c r="D103" i="2"/>
  <c r="C36" i="10"/>
  <c r="G192" i="1"/>
  <c r="G627" i="1" s="1"/>
  <c r="J627" i="1" s="1"/>
  <c r="C103" i="2"/>
  <c r="C38" i="10"/>
  <c r="F192" i="1"/>
  <c r="G626" i="1" s="1"/>
  <c r="J626" i="1" s="1"/>
  <c r="F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C25" i="13"/>
  <c r="H33" i="13"/>
  <c r="G630" i="1"/>
  <c r="J630" i="1" s="1"/>
  <c r="G645" i="1"/>
  <c r="G625" i="1"/>
  <c r="J51" i="1"/>
  <c r="H620" i="1" s="1"/>
  <c r="J620" i="1" s="1"/>
  <c r="L351" i="1" l="1"/>
  <c r="G632" i="1" s="1"/>
  <c r="H471" i="1"/>
  <c r="H473" i="1" s="1"/>
  <c r="H475" i="1" s="1"/>
  <c r="H623" i="1" s="1"/>
  <c r="J623" i="1" s="1"/>
  <c r="J635" i="1"/>
  <c r="H634" i="1"/>
  <c r="J634" i="1" s="1"/>
  <c r="G473" i="1"/>
  <c r="G475" i="1" s="1"/>
  <c r="H622" i="1" s="1"/>
  <c r="J622" i="1" s="1"/>
  <c r="H671" i="1"/>
  <c r="C6" i="10" s="1"/>
  <c r="F671" i="1"/>
  <c r="C4" i="10" s="1"/>
  <c r="C24" i="10"/>
  <c r="C28" i="10" s="1"/>
  <c r="C30" i="10" s="1"/>
  <c r="C113" i="2"/>
  <c r="C114" i="2" s="1"/>
  <c r="C144" i="2" s="1"/>
  <c r="D17" i="13"/>
  <c r="C17" i="13" s="1"/>
  <c r="G255" i="1"/>
  <c r="C41" i="10"/>
  <c r="D39" i="10" s="1"/>
  <c r="G636" i="1"/>
  <c r="J636" i="1" s="1"/>
  <c r="H645" i="1"/>
  <c r="J645" i="1" s="1"/>
  <c r="G663" i="1"/>
  <c r="I659" i="1"/>
  <c r="I663" i="1" s="1"/>
  <c r="J625" i="1"/>
  <c r="H632" i="1" l="1"/>
  <c r="J632" i="1" s="1"/>
  <c r="D33" i="13"/>
  <c r="D36" i="13" s="1"/>
  <c r="D17" i="10"/>
  <c r="D16" i="10"/>
  <c r="D11" i="10"/>
  <c r="D19" i="10"/>
  <c r="D18" i="10"/>
  <c r="D10" i="10"/>
  <c r="D26" i="10"/>
  <c r="D22" i="10"/>
  <c r="L255" i="1"/>
  <c r="L256" i="1" s="1"/>
  <c r="L270" i="1" s="1"/>
  <c r="G256" i="1"/>
  <c r="G270" i="1" s="1"/>
  <c r="D20" i="10"/>
  <c r="D25" i="10"/>
  <c r="D24" i="10"/>
  <c r="D23" i="10"/>
  <c r="D15" i="10"/>
  <c r="D27" i="10"/>
  <c r="D12" i="10"/>
  <c r="D13" i="10"/>
  <c r="D21" i="10"/>
  <c r="D37" i="10"/>
  <c r="D38" i="10"/>
  <c r="D36" i="10"/>
  <c r="D40" i="10"/>
  <c r="D35" i="10"/>
  <c r="I666" i="1"/>
  <c r="I671" i="1"/>
  <c r="C7" i="10" s="1"/>
  <c r="G671" i="1"/>
  <c r="C5" i="10" s="1"/>
  <c r="G666" i="1"/>
  <c r="G631" i="1" l="1"/>
  <c r="F471" i="1"/>
  <c r="D28" i="10"/>
  <c r="D41" i="10"/>
  <c r="F473" i="1" l="1"/>
  <c r="F475" i="1" s="1"/>
  <c r="H621" i="1" s="1"/>
  <c r="H631" i="1"/>
  <c r="J631" i="1" s="1"/>
  <c r="J621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<sst xmlns="http://schemas.openxmlformats.org/spreadsheetml/2006/main" count="3955" uniqueCount="915">
  <si>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</si>
  <si>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</si>
  <si>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</si>
  <si>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</si>
  <si>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</si>
  <si>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</si>
  <si>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</si>
  <si>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</si>
  <si>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</si>
  <si>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</si>
  <si>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</si>
  <si>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</si>
  <si>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</si>
  <si>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</si>
  <si>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</si>
  <si>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</si>
  <si>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</si>
  <si>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</si>
  <si>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</si>
  <si>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</si>
  <si>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</si>
  <si>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</si>
  <si>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</si>
  <si>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</si>
  <si>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</si>
  <si>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</si>
  <si>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</si>
  <si>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</si>
  <si>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</si>
  <si>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</si>
  <si>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</si>
  <si>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</si>
  <si>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</si>
  <si>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</si>
  <si>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</si>
  <si>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</si>
  <si>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</si>
  <si>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</si>
  <si>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</si>
  <si>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</si>
  <si>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</si>
  <si>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</si>
  <si>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</si>
  <si>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</si>
  <si>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</si>
  <si>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</si>
  <si>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</si>
  <si>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</si>
  <si>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</si>
  <si>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</si>
  <si>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</si>
  <si>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</si>
  <si>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</si>
  <si>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</si>
  <si>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</si>
  <si>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</si>
  <si>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</si>
  <si>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</si>
  <si>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</si>
  <si>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</si>
  <si>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</si>
  <si>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</si>
  <si>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</si>
  <si>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</si>
  <si>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</si>
  <si>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</si>
  <si>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</si>
  <si>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</si>
  <si>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</si>
  <si>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</si>
  <si>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</si>
  <si>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</si>
  <si>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</si>
  <si>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</si>
  <si>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</si>
  <si>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</si>
  <si>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</si>
  <si>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</si>
  <si>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</si>
  <si>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</si>
  <si>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</si>
  <si>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</si>
  <si>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</si>
  <si>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</si>
  <si>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</si>
  <si>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</si>
  <si>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</si>
  <si>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</si>
  <si>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</si>
  <si>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</si>
  <si>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</si>
  <si>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</si>
  <si>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</si>
  <si>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</si>
  <si>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</si>
  <si>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</si>
  <si>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</si>
  <si>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</si>
  <si>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</si>
  <si>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</si>
  <si>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</si>
  <si>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</si>
  <si>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</si>
  <si>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</si>
  <si>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</si>
  <si>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</si>
  <si>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</si>
  <si>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</si>
  <si>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</si>
  <si>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</si>
  <si>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</si>
  <si>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</si>
  <si>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</si>
  <si>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</si>
  <si>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</si>
  <si>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</si>
  <si>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</si>
  <si>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</si>
  <si>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</si>
  <si>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</si>
  <si>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</si>
  <si>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</si>
  <si>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</si>
  <si>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</si>
  <si>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</si>
  <si>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</si>
  <si>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</si>
  <si>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</si>
  <si>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</si>
  <si>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</si>
  <si>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</si>
  <si>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</si>
  <si>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</si>
  <si>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</si>
  <si>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</si>
  <si>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</si>
  <si>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</si>
  <si>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</si>
  <si>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</si>
  <si>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</si>
  <si>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</si>
  <si>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</si>
  <si>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</si>
  <si>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</si>
  <si>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</si>
  <si>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</si>
  <si>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</si>
  <si>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</si>
  <si>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</si>
  <si>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</si>
  <si>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</si>
  <si>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</si>
  <si>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</si>
  <si>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</si>
  <si>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</si>
  <si>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</si>
  <si>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</si>
  <si>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</si>
  <si>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</si>
  <si>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</si>
  <si>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</si>
  <si>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</si>
  <si>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</si>
  <si>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</si>
  <si>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</si>
  <si>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</si>
  <si>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</si>
  <si>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</si>
  <si>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</si>
  <si>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</si>
  <si>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</si>
  <si>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</si>
  <si>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</si>
  <si>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</si>
  <si>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</si>
  <si>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</si>
  <si>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</si>
  <si>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</si>
  <si>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</si>
  <si>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</si>
  <si>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</si>
  <si>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</si>
  <si>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</si>
  <si>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</si>
  <si>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</si>
  <si>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</si>
  <si>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</si>
  <si>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</si>
  <si>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</si>
  <si>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</si>
  <si>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</si>
  <si>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</si>
  <si>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</si>
  <si>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</si>
  <si>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</si>
  <si>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</si>
  <si>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</si>
  <si>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</si>
  <si>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</si>
  <si>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</si>
  <si>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</si>
  <si>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</si>
  <si>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</si>
  <si>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</si>
  <si>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</si>
  <si>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</si>
  <si>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</si>
  <si>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</si>
  <si>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</si>
  <si>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</si>
  <si>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</si>
  <si>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</si>
  <si>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</si>
  <si>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</si>
  <si>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</si>
  <si>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</si>
  <si>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</si>
  <si>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</si>
  <si>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</si>
  <si>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</si>
  <si>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</si>
  <si>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</si>
  <si>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</si>
  <si>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</si>
  <si>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</si>
  <si>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</si>
  <si>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</si>
  <si>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</si>
  <si>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</si>
  <si>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</si>
  <si>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</si>
  <si>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</si>
  <si>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</si>
  <si>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</si>
  <si>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</si>
  <si>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</si>
  <si>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</si>
  <si>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</si>
  <si>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</si>
  <si>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</si>
  <si>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</si>
  <si>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</si>
  <si>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</si>
  <si>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</si>
  <si>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</si>
  <si>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</si>
  <si>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</si>
  <si>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</si>
  <si>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</si>
  <si>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</si>
  <si>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</si>
  <si>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</si>
  <si>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</si>
  <si>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</si>
  <si>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</si>
  <si>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</si>
  <si>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</si>
  <si>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</si>
  <si>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</si>
  <si>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</si>
  <si>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</si>
  <si>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</si>
  <si>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</si>
  <si>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</si>
  <si>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</si>
  <si>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</si>
  <si>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</si>
  <si>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</si>
  <si>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</si>
  <si>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</si>
  <si>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</si>
  <si>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</si>
  <si>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</si>
  <si>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</si>
  <si>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</si>
  <si>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</si>
  <si>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</si>
  <si>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</si>
  <si>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</si>
  <si>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</si>
  <si>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</si>
  <si>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</si>
  <si>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</si>
  <si>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</si>
  <si>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</si>
  <si>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</si>
  <si>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</si>
  <si>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</si>
  <si>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</si>
  <si>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</si>
  <si>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</si>
  <si>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</si>
  <si>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</si>
  <si>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</si>
  <si>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</si>
  <si>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</si>
  <si>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</si>
  <si>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</si>
  <si>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</si>
  <si>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</si>
  <si>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</si>
  <si>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</si>
  <si>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</si>
  <si>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</si>
  <si>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</si>
  <si>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</si>
  <si>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</si>
  <si>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</si>
  <si>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</si>
  <si>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</si>
  <si>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</si>
  <si>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</si>
  <si>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</si>
  <si>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</si>
  <si>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</si>
  <si>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</si>
  <si>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</si>
  <si>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</si>
  <si>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</si>
  <si>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</si>
  <si>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</si>
  <si>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</si>
  <si>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</si>
  <si>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</si>
  <si>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</si>
  <si>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</si>
  <si>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</si>
  <si>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</si>
  <si>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</si>
  <si>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</si>
  <si>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</si>
  <si>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</si>
  <si>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</si>
  <si>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</si>
  <si>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</si>
  <si>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</si>
  <si>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</si>
  <si>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</si>
  <si>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</si>
  <si>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</si>
  <si>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</si>
  <si>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</si>
  <si>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</si>
  <si>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</si>
  <si>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</si>
  <si>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</si>
  <si>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</si>
  <si>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</si>
  <si>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</si>
  <si>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</si>
  <si>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</si>
  <si>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</si>
  <si>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</si>
  <si>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</si>
  <si>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</si>
  <si>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</si>
  <si>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</si>
  <si>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</si>
  <si>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</si>
  <si>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</si>
  <si>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</si>
  <si>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</si>
  <si>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</si>
  <si>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</si>
  <si>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</si>
  <si>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</si>
  <si>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</si>
  <si>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</si>
  <si>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</si>
  <si>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</si>
  <si>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</si>
  <si>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</si>
  <si>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</si>
  <si>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</si>
  <si>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</si>
  <si>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</si>
  <si>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</si>
  <si>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</si>
  <si>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</si>
  <si>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</si>
  <si>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</si>
  <si>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</si>
  <si>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</si>
  <si>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</si>
  <si>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</si>
  <si>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</si>
  <si>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</si>
  <si>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</si>
  <si>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</si>
  <si>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</si>
  <si>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</si>
  <si>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</si>
  <si>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</si>
  <si>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</si>
  <si>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</si>
  <si>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</si>
  <si>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</si>
  <si>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</si>
  <si>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</si>
  <si>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</si>
  <si>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</si>
  <si>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</si>
  <si>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</si>
  <si>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</si>
  <si>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</si>
  <si>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</si>
  <si>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</si>
  <si>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</si>
  <si>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</si>
  <si>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</si>
  <si>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</si>
  <si>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</si>
  <si>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</si>
  <si>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</si>
  <si>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</si>
  <si>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</si>
  <si>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</si>
  <si>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</si>
  <si>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</si>
  <si>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</si>
  <si>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</si>
  <si>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</si>
  <si>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</si>
  <si>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</si>
  <si>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</si>
  <si>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</si>
  <si>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</si>
  <si>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</si>
  <si>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</si>
  <si>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</si>
  <si>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</si>
  <si>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</si>
  <si>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</si>
  <si>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</si>
  <si>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</si>
  <si>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</si>
  <si>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</si>
  <si>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</si>
  <si>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</si>
  <si>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</si>
  <si>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</si>
  <si>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</si>
  <si>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</si>
  <si>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</si>
  <si>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</si>
  <si>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</si>
  <si>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</si>
  <si>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</si>
  <si>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</si>
  <si>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</si>
  <si>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</si>
  <si>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</si>
  <si>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</si>
  <si>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</si>
  <si>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</si>
  <si>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</si>
  <si>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</si>
  <si>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</si>
  <si>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</si>
  <si>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</si>
  <si>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</si>
  <si>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</si>
  <si>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</si>
  <si>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</si>
  <si>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</si>
  <si>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</si>
  <si>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</si>
  <si>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</si>
  <si>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</si>
  <si>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</si>
  <si>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</si>
  <si>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</si>
  <si>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</si>
  <si>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</si>
  <si>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</si>
  <si>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</si>
  <si>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</si>
  <si>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</si>
  <si>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</si>
  <si>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</si>
  <si>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</si>
  <si>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</si>
  <si>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</si>
  <si>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</si>
  <si>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</si>
  <si>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</si>
  <si>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</si>
  <si>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</si>
  <si>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</si>
  <si>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</si>
  <si>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</si>
  <si>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</si>
  <si>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</si>
  <si>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</si>
  <si>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</si>
  <si>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</si>
  <si>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</si>
  <si>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</si>
  <si>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</si>
  <si>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</si>
  <si>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</si>
  <si>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</si>
  <si>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</si>
  <si>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</si>
  <si>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</si>
  <si>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</si>
  <si>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</si>
  <si>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</si>
  <si>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</si>
  <si>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</si>
  <si>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</si>
  <si>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</si>
  <si>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</si>
  <si>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</si>
  <si>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</si>
  <si>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</si>
  <si>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</si>
  <si>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</si>
  <si>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</si>
  <si>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</si>
  <si>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</si>
  <si>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</si>
  <si>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</si>
  <si>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</si>
  <si>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</si>
  <si>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</si>
  <si>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</si>
  <si>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</si>
  <si>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</si>
  <si>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</si>
  <si>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</si>
  <si>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</si>
  <si>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</si>
  <si>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</si>
  <si>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</si>
  <si>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</si>
  <si>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</si>
  <si>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</si>
  <si>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</si>
  <si>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</si>
  <si>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</si>
  <si>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</si>
  <si>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</si>
  <si>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</si>
  <si>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</si>
  <si>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</si>
  <si>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</si>
  <si>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</si>
  <si>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</si>
  <si>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</si>
  <si>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</si>
  <si>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</si>
  <si>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</si>
  <si>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</si>
  <si>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</si>
  <si>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</si>
  <si>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</si>
  <si>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</si>
  <si>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</si>
  <si>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</si>
  <si>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</si>
  <si>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</si>
  <si>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</si>
  <si>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</si>
  <si>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</si>
  <si>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</si>
  <si>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</si>
  <si>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</si>
  <si>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</si>
  <si>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</si>
  <si>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</si>
  <si>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</si>
  <si>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</si>
  <si>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</si>
  <si>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</si>
  <si>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</si>
  <si>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</si>
  <si>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</si>
  <si>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</si>
  <si>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</si>
  <si>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</si>
  <si>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</si>
  <si>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</si>
  <si>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</si>
  <si>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</si>
  <si>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</si>
  <si>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</si>
  <si>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</si>
  <si>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</si>
  <si>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</si>
  <si>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</si>
  <si>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</si>
  <si>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</si>
  <si>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</si>
  <si>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</si>
  <si>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</si>
  <si>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</si>
  <si>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</si>
  <si>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</si>
  <si>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</si>
  <si>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</si>
  <si>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</si>
  <si>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</si>
  <si>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</si>
  <si>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</si>
  <si>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</si>
  <si>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</si>
  <si>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</si>
  <si>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</si>
  <si>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</si>
  <si>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</si>
  <si>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</si>
  <si>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</si>
  <si>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</si>
  <si>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</si>
  <si>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</si>
  <si>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</si>
  <si>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</si>
  <si>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</si>
  <si>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</si>
  <si>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</si>
  <si>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</si>
  <si>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</si>
  <si>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</si>
  <si>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</si>
  <si>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</si>
  <si>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</si>
  <si>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</si>
  <si>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</si>
  <si>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</si>
  <si>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</si>
  <si>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</si>
  <si>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</si>
  <si>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</si>
  <si>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</si>
  <si>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</si>
  <si>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</si>
  <si>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</si>
  <si>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</si>
  <si>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</si>
  <si>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</si>
  <si>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</si>
  <si>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</si>
  <si>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</si>
  <si>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</si>
  <si>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</si>
  <si>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</si>
  <si>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</si>
  <si>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</si>
  <si>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</si>
  <si>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</si>
  <si>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</si>
  <si>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</si>
  <si>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</si>
  <si>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</si>
  <si>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</si>
  <si>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</si>
  <si>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</si>
  <si>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</si>
  <si>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</si>
  <si>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</si>
  <si>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</si>
  <si>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</si>
  <si>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</si>
  <si>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</si>
  <si>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</si>
  <si>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</si>
  <si>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</si>
  <si>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</si>
  <si>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</si>
  <si>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</si>
  <si>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</si>
  <si>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</si>
  <si>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</si>
  <si>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</si>
  <si>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</si>
  <si>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</si>
  <si>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</si>
  <si>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</si>
  <si>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</si>
  <si>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</si>
  <si>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</si>
  <si>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</si>
  <si>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</si>
  <si>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</si>
  <si>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</si>
  <si>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</si>
  <si>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</si>
  <si>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</si>
  <si>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</si>
  <si>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</si>
  <si>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</si>
  <si>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</si>
  <si>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</si>
  <si>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</si>
  <si>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</si>
  <si>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</si>
  <si>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</si>
  <si>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</si>
  <si>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</si>
  <si>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</si>
  <si>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</si>
  <si>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</si>
  <si>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</si>
  <si>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</si>
  <si>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</si>
  <si>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</si>
  <si>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</si>
  <si>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</si>
  <si>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</si>
  <si>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</si>
  <si>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</si>
  <si>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</si>
  <si>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</si>
  <si>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</si>
  <si>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</si>
  <si>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</si>
  <si>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</si>
  <si>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</si>
  <si>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</si>
  <si>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</si>
  <si>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</si>
  <si>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</si>
  <si>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</si>
  <si>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</si>
  <si>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</si>
  <si>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</si>
  <si>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</si>
  <si>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</si>
  <si>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</si>
  <si>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</si>
  <si>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</si>
  <si>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</si>
  <si>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</si>
  <si>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</si>
  <si>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</si>
  <si>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</si>
  <si>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</si>
  <si>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</si>
  <si>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</si>
  <si>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</si>
  <si>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</si>
  <si>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</si>
  <si>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</si>
  <si>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</si>
  <si>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</si>
  <si>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</si>
  <si>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</si>
  <si>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</si>
  <si>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</si>
  <si>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</si>
  <si>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</si>
  <si>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</si>
  <si>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</si>
  <si>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</si>
  <si>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</si>
  <si>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</si>
  <si>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</si>
  <si>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</si>
  <si>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</si>
  <si>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</si>
  <si>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</si>
  <si>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</si>
  <si>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</si>
  <si>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</si>
  <si>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</si>
  <si>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</si>
  <si>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</si>
  <si>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</si>
  <si>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</si>
  <si>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</si>
  <si>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</si>
  <si>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</si>
  <si>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</si>
  <si>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</si>
  <si>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</si>
  <si>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</si>
  <si>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</si>
  <si>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</si>
  <si>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</si>
  <si>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</si>
  <si>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</si>
  <si>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</si>
  <si>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</si>
  <si>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</si>
  <si>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</si>
  <si>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</si>
  <si>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</si>
  <si>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</si>
  <si>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</si>
  <si>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</si>
  <si>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</si>
  <si>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</si>
  <si>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</si>
  <si>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</si>
  <si>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</si>
  <si>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</si>
  <si>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</si>
  <si>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</si>
  <si>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</si>
  <si>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</si>
  <si>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</si>
  <si>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</si>
  <si>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</si>
  <si>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</si>
  <si>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</si>
  <si>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</si>
  <si>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</si>
  <si>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</si>
  <si>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</si>
  <si>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</si>
  <si>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</si>
  <si>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</si>
  <si>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</si>
  <si>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</si>
  <si>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</si>
  <si>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</si>
  <si>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</si>
  <si>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</si>
  <si>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</si>
  <si>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</si>
  <si>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</si>
  <si>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</si>
  <si>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</si>
  <si>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</si>
  <si>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</si>
  <si>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</si>
  <si>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</si>
  <si>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</si>
  <si>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</si>
  <si>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</si>
  <si>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</si>
  <si>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</si>
  <si>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</si>
  <si>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</si>
  <si>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</si>
  <si>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</si>
  <si>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</si>
  <si>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</si>
  <si>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</si>
  <si>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</si>
  <si>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</si>
  <si>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</si>
  <si>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</si>
  <si>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</si>
  <si>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</si>
  <si>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</si>
  <si>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</si>
  <si>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</si>
  <si>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</si>
  <si>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</si>
  <si>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</si>
  <si>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</si>
  <si>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</si>
  <si>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</si>
  <si>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</si>
  <si>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</si>
  <si>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</si>
  <si>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</si>
  <si>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</si>
  <si>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</si>
  <si>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</si>
  <si>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</si>
  <si>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</si>
  <si>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</si>
  <si>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</si>
  <si>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</si>
  <si>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</si>
  <si>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</si>
  <si>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</si>
  <si>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</si>
  <si>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</si>
  <si>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</si>
  <si>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</si>
  <si>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</si>
  <si>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</si>
  <si>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</si>
  <si>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</si>
  <si>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</si>
  <si>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</si>
  <si>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</si>
  <si>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</si>
  <si>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</si>
  <si>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</si>
  <si>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</si>
  <si>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</si>
  <si>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</si>
  <si>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</si>
  <si>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</si>
  <si>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</si>
  <si>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</si>
  <si>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</si>
  <si>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</si>
  <si>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</si>
  <si>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</si>
  <si>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</si>
  <si>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</si>
  <si>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</si>
  <si>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</si>
  <si>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</si>
  <si>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</si>
  <si>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</si>
  <si>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</si>
  <si>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</si>
  <si>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</si>
  <si>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</si>
  <si>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</si>
  <si>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</si>
  <si>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</si>
  <si>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Error in FY 2010-2011 balance</t>
  </si>
  <si>
    <t>08/05</t>
  </si>
  <si>
    <t>08/20</t>
  </si>
  <si>
    <t>0</t>
  </si>
  <si>
    <t>Audit adjyustments</t>
  </si>
  <si>
    <t>Milton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</si>
</sst>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914</v>
      </c>
      <c r="B2" s="21">
        <v>359</v>
      </c>
      <c r="C2" s="21">
        <v>359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5909.11+38.01</f>
        <v>5947.12</v>
      </c>
      <c r="G9" s="18">
        <v>5060.63</v>
      </c>
      <c r="H9" s="18">
        <v>0</v>
      </c>
      <c r="I9" s="18">
        <v>231490.34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85478.26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309126.45</v>
      </c>
      <c r="G12" s="18">
        <v>0</v>
      </c>
      <c r="H12" s="18">
        <v>20890.32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29953.81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345027.38</v>
      </c>
      <c r="G19" s="41">
        <f>SUM(G9:G18)</f>
        <v>5060.63</v>
      </c>
      <c r="H19" s="41">
        <f>SUM(H9:H18)</f>
        <v>20890.32</v>
      </c>
      <c r="I19" s="41">
        <f>SUM(I9:I18)</f>
        <v>231490.34</v>
      </c>
      <c r="J19" s="41">
        <f>SUM(J9:J18)</f>
        <v>85478.26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3369.63</v>
      </c>
      <c r="H22" s="18">
        <v>0</v>
      </c>
      <c r="I22" s="18">
        <v>37280.94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111224.25</v>
      </c>
      <c r="G24" s="18">
        <v>1691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20890.32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111224.25</v>
      </c>
      <c r="G32" s="41">
        <f>SUM(G22:G31)</f>
        <v>5060.63</v>
      </c>
      <c r="H32" s="41">
        <f>SUM(H22:H31)</f>
        <v>20890.32</v>
      </c>
      <c r="I32" s="41">
        <f>SUM(I22:I31)</f>
        <v>37280.94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f>140956.38+58284.27-5031.25</f>
        <v>194209.4</v>
      </c>
      <c r="J47" s="13">
        <f>SUM(I458)</f>
        <v>85478.26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278639.48-119836.35</f>
        <v>158803.12999999998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233803.12999999998</v>
      </c>
      <c r="G50" s="41">
        <f>SUM(G35:G49)</f>
        <v>0</v>
      </c>
      <c r="H50" s="41">
        <f>SUM(H35:H49)</f>
        <v>0</v>
      </c>
      <c r="I50" s="41">
        <f>SUM(I35:I49)</f>
        <v>194209.4</v>
      </c>
      <c r="J50" s="41">
        <f>SUM(J35:J49)</f>
        <v>85478.26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345027.38</v>
      </c>
      <c r="G51" s="41">
        <f>G50+G32</f>
        <v>5060.63</v>
      </c>
      <c r="H51" s="41">
        <f>H50+H32</f>
        <v>20890.32</v>
      </c>
      <c r="I51" s="41">
        <f>I50+I32</f>
        <v>231490.34</v>
      </c>
      <c r="J51" s="41">
        <f>J50+J32</f>
        <v>85478.26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4504022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4504022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11326.58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11326.58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f>4254.19-F127</f>
        <v>2838.7199999999993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2838.7199999999993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225.15</v>
      </c>
      <c r="G95" s="18">
        <v>0</v>
      </c>
      <c r="H95" s="18">
        <v>0</v>
      </c>
      <c r="I95" s="18">
        <v>323.75</v>
      </c>
      <c r="J95" s="18">
        <v>1131.5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71904.100000000006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64.77+6871.73</f>
        <v>6936.5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7161.65</v>
      </c>
      <c r="G110" s="41">
        <f>SUM(G95:G109)</f>
        <v>71904.100000000006</v>
      </c>
      <c r="H110" s="41">
        <f>SUM(H95:H109)</f>
        <v>0</v>
      </c>
      <c r="I110" s="41">
        <f>SUM(I95:I109)</f>
        <v>323.75</v>
      </c>
      <c r="J110" s="41">
        <f>SUM(J95:J109)</f>
        <v>1131.5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4525348.95</v>
      </c>
      <c r="G111" s="41">
        <f>G59+G110</f>
        <v>71904.100000000006</v>
      </c>
      <c r="H111" s="41">
        <f>H59+H78+H93+H110</f>
        <v>0</v>
      </c>
      <c r="I111" s="41">
        <f>I59+I110</f>
        <v>323.75</v>
      </c>
      <c r="J111" s="41">
        <f>J59+J110</f>
        <v>1131.5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3005201.19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972635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2603.81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27435.82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3980440</v>
      </c>
      <c r="G120" s="41">
        <f>SUM(G116:G119)</f>
        <v>0</v>
      </c>
      <c r="H120" s="41">
        <f>SUM(H116:H119)</f>
        <v>27435.82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180046.78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2342.62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1415.47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2714.74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1800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185604.87</v>
      </c>
      <c r="G135" s="41">
        <f>SUM(G122:G134)</f>
        <v>2714.74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4166044.87</v>
      </c>
      <c r="G139" s="41">
        <f>G120+SUM(G135:G136)</f>
        <v>2714.74</v>
      </c>
      <c r="H139" s="41">
        <f>H120+SUM(H135:H138)</f>
        <v>27435.82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f>43077.34+184392.36+57425.68+227216.27+2941.38</f>
        <v>515053.03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515053.03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5733.03+24468.58+199763.57+7629.44+8895.44</f>
        <v>246490.06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895558.64-H145-H153-H160</f>
        <v>48456.909999999989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115452.84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77587.490000000005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24655.5</v>
      </c>
      <c r="H160" s="18">
        <v>85558.64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77587.490000000005</v>
      </c>
      <c r="G161" s="41">
        <f>SUM(G149:G160)</f>
        <v>140108.34</v>
      </c>
      <c r="H161" s="41">
        <f>SUM(H149:H160)</f>
        <v>380505.61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77587.490000000005</v>
      </c>
      <c r="G168" s="41">
        <f>G146+G161+SUM(G162:G167)</f>
        <v>140108.34</v>
      </c>
      <c r="H168" s="41">
        <f>H146+H161+SUM(H162:H167)</f>
        <v>895558.64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73704.92</v>
      </c>
      <c r="H178" s="18">
        <v>0</v>
      </c>
      <c r="I178" s="18">
        <v>0</v>
      </c>
      <c r="J178" s="18">
        <v>75000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73704.92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73704.92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8768981.3100000005</v>
      </c>
      <c r="G192" s="47">
        <f>G111+G139+G168+G191</f>
        <v>288432.09999999998</v>
      </c>
      <c r="H192" s="47">
        <f>H111+H139+H168+H191</f>
        <v>922994.46</v>
      </c>
      <c r="I192" s="47">
        <f>I111+I139+I168+I191</f>
        <v>323.75</v>
      </c>
      <c r="J192" s="47">
        <f>J111+J139+J191</f>
        <v>76131.5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911141.04</v>
      </c>
      <c r="G196" s="18">
        <v>409023.54999999993</v>
      </c>
      <c r="H196" s="18">
        <v>16445.77</v>
      </c>
      <c r="I196" s="18">
        <v>96142.78</v>
      </c>
      <c r="J196" s="18">
        <v>4217.67</v>
      </c>
      <c r="K196" s="18">
        <v>0</v>
      </c>
      <c r="L196" s="19">
        <f>SUM(F196:K196)</f>
        <v>1436970.8099999998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334020.67000000004</v>
      </c>
      <c r="G197" s="18">
        <v>156414.90000000002</v>
      </c>
      <c r="H197" s="18">
        <v>697058.97000000009</v>
      </c>
      <c r="I197" s="18">
        <v>2159.0700000000002</v>
      </c>
      <c r="J197" s="18">
        <v>1528.71</v>
      </c>
      <c r="K197" s="18">
        <v>0</v>
      </c>
      <c r="L197" s="19">
        <f>SUM(F197:K197)</f>
        <v>1191182.32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6200</v>
      </c>
      <c r="G199" s="18">
        <v>2424.1400000000003</v>
      </c>
      <c r="H199" s="18">
        <v>15102.14</v>
      </c>
      <c r="I199" s="18">
        <v>27.5</v>
      </c>
      <c r="J199" s="18">
        <v>0</v>
      </c>
      <c r="K199" s="18">
        <v>0</v>
      </c>
      <c r="L199" s="19">
        <f>SUM(F199:K199)</f>
        <v>23753.78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104563</v>
      </c>
      <c r="G201" s="18">
        <v>40672.97</v>
      </c>
      <c r="H201" s="18">
        <v>2140</v>
      </c>
      <c r="I201" s="18">
        <v>1110.54</v>
      </c>
      <c r="J201" s="18">
        <v>0</v>
      </c>
      <c r="K201" s="18">
        <v>0</v>
      </c>
      <c r="L201" s="19">
        <f t="shared" ref="L201:L207" si="0">SUM(F201:K201)</f>
        <v>148486.51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40539</v>
      </c>
      <c r="G202" s="18">
        <v>33214.340000000004</v>
      </c>
      <c r="H202" s="18">
        <v>3776.32</v>
      </c>
      <c r="I202" s="18">
        <v>7768.92</v>
      </c>
      <c r="J202" s="18">
        <v>0</v>
      </c>
      <c r="K202" s="18">
        <v>0</v>
      </c>
      <c r="L202" s="19">
        <f t="shared" si="0"/>
        <v>85298.58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3383.69</v>
      </c>
      <c r="G203" s="18">
        <v>325.26</v>
      </c>
      <c r="H203" s="18">
        <v>161345.82</v>
      </c>
      <c r="I203" s="18">
        <v>0</v>
      </c>
      <c r="J203" s="18">
        <v>0</v>
      </c>
      <c r="K203" s="18">
        <v>2277.42</v>
      </c>
      <c r="L203" s="19">
        <f t="shared" si="0"/>
        <v>167332.19000000003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171093.80000000002</v>
      </c>
      <c r="G204" s="18">
        <v>84521.170000000013</v>
      </c>
      <c r="H204" s="18">
        <v>12002.689999999999</v>
      </c>
      <c r="I204" s="18">
        <v>7275.92</v>
      </c>
      <c r="J204" s="18">
        <v>1123.75</v>
      </c>
      <c r="K204" s="18">
        <v>464.07</v>
      </c>
      <c r="L204" s="19">
        <f t="shared" si="0"/>
        <v>276481.40000000002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f>0</f>
        <v>0</v>
      </c>
      <c r="H205" s="18">
        <v>0</v>
      </c>
      <c r="I205" s="18">
        <f>0</f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88632.06</v>
      </c>
      <c r="G206" s="18">
        <v>46396.2</v>
      </c>
      <c r="H206" s="18">
        <v>83865.5</v>
      </c>
      <c r="I206" s="18">
        <v>70937.19</v>
      </c>
      <c r="J206" s="18">
        <v>2090.89</v>
      </c>
      <c r="K206" s="18">
        <v>287.10000000000002</v>
      </c>
      <c r="L206" s="19">
        <f t="shared" si="0"/>
        <v>292208.94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59027.11</v>
      </c>
      <c r="G207" s="18">
        <v>25250.190000000006</v>
      </c>
      <c r="H207" s="18">
        <v>69720.84</v>
      </c>
      <c r="I207" s="18">
        <v>32221.37</v>
      </c>
      <c r="J207" s="18">
        <v>1450</v>
      </c>
      <c r="K207" s="18">
        <v>1454.94</v>
      </c>
      <c r="L207" s="19">
        <f t="shared" si="0"/>
        <v>189124.45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1356</v>
      </c>
      <c r="I208" s="18">
        <v>3924.11</v>
      </c>
      <c r="J208" s="18">
        <v>15210.68</v>
      </c>
      <c r="K208" s="18">
        <f>0</f>
        <v>0</v>
      </c>
      <c r="L208" s="19">
        <f>SUM(F208:K208)</f>
        <v>20490.79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1718600.37</v>
      </c>
      <c r="G210" s="41">
        <f t="shared" si="1"/>
        <v>798242.72</v>
      </c>
      <c r="H210" s="41">
        <f t="shared" si="1"/>
        <v>1062814.05</v>
      </c>
      <c r="I210" s="41">
        <f t="shared" si="1"/>
        <v>221567.39999999997</v>
      </c>
      <c r="J210" s="41">
        <f t="shared" si="1"/>
        <v>25621.7</v>
      </c>
      <c r="K210" s="41">
        <f t="shared" si="1"/>
        <v>4483.5300000000007</v>
      </c>
      <c r="L210" s="41">
        <f t="shared" si="1"/>
        <v>3831329.77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502444.80000000005</v>
      </c>
      <c r="G214" s="18">
        <v>238357.21999999997</v>
      </c>
      <c r="H214" s="18">
        <v>15404.22</v>
      </c>
      <c r="I214" s="18">
        <v>44811.700000000004</v>
      </c>
      <c r="J214" s="18">
        <v>9901.2100000000009</v>
      </c>
      <c r="K214" s="18">
        <v>90</v>
      </c>
      <c r="L214" s="19">
        <f>SUM(F214:K214)</f>
        <v>811009.14999999991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184520.08000000002</v>
      </c>
      <c r="G215" s="18">
        <v>116388.47</v>
      </c>
      <c r="H215" s="18">
        <v>4171.7900000000009</v>
      </c>
      <c r="I215" s="18">
        <v>2488.81</v>
      </c>
      <c r="J215" s="18">
        <v>2053.73</v>
      </c>
      <c r="K215" s="18">
        <v>69</v>
      </c>
      <c r="L215" s="19">
        <f>SUM(F215:K215)</f>
        <v>309691.88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f>0</f>
        <v>0</v>
      </c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46713.66</v>
      </c>
      <c r="G217" s="18">
        <v>13890.94</v>
      </c>
      <c r="H217" s="18">
        <v>9025.07</v>
      </c>
      <c r="I217" s="18">
        <v>3263.08</v>
      </c>
      <c r="J217" s="18">
        <v>3345.87</v>
      </c>
      <c r="K217" s="18">
        <v>1309.7</v>
      </c>
      <c r="L217" s="19">
        <f>SUM(F217:K217)</f>
        <v>77548.320000000007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68393.84</v>
      </c>
      <c r="G219" s="18">
        <v>34123.19</v>
      </c>
      <c r="H219" s="18">
        <v>952.85</v>
      </c>
      <c r="I219" s="18">
        <v>787.94</v>
      </c>
      <c r="J219" s="18">
        <v>0</v>
      </c>
      <c r="K219" s="18">
        <v>40</v>
      </c>
      <c r="L219" s="19">
        <f t="shared" ref="L219:L225" si="2">SUM(F219:K219)</f>
        <v>104297.82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23916.880000000001</v>
      </c>
      <c r="G220" s="18">
        <v>22788.720000000001</v>
      </c>
      <c r="H220" s="18">
        <v>2062.33</v>
      </c>
      <c r="I220" s="18">
        <v>6779.29</v>
      </c>
      <c r="J220" s="18">
        <v>0</v>
      </c>
      <c r="K220" s="18">
        <v>0</v>
      </c>
      <c r="L220" s="19">
        <f t="shared" si="2"/>
        <v>55547.220000000008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2128.44</v>
      </c>
      <c r="G221" s="18">
        <v>198.93</v>
      </c>
      <c r="H221" s="18">
        <v>97061.03</v>
      </c>
      <c r="I221" s="18">
        <v>0</v>
      </c>
      <c r="J221" s="18">
        <v>0</v>
      </c>
      <c r="K221" s="18">
        <v>1404.4</v>
      </c>
      <c r="L221" s="19">
        <f t="shared" si="2"/>
        <v>100792.79999999999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58553.450000000004</v>
      </c>
      <c r="G222" s="18">
        <v>26764.959999999995</v>
      </c>
      <c r="H222" s="18">
        <v>6986.12</v>
      </c>
      <c r="I222" s="18">
        <v>1752.17</v>
      </c>
      <c r="J222" s="18">
        <v>0</v>
      </c>
      <c r="K222" s="18">
        <v>1212</v>
      </c>
      <c r="L222" s="19">
        <f t="shared" si="2"/>
        <v>95268.7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f>0</f>
        <v>0</v>
      </c>
      <c r="H223" s="18">
        <v>0</v>
      </c>
      <c r="I223" s="18">
        <v>0</v>
      </c>
      <c r="J223" s="18">
        <f>0</f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47155.03</v>
      </c>
      <c r="G224" s="18">
        <v>24777.74</v>
      </c>
      <c r="H224" s="18">
        <v>38645.5</v>
      </c>
      <c r="I224" s="18">
        <v>49278.93</v>
      </c>
      <c r="J224" s="18">
        <v>1324.46</v>
      </c>
      <c r="K224" s="18">
        <v>203.39</v>
      </c>
      <c r="L224" s="19">
        <f t="shared" si="2"/>
        <v>161385.05000000002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46324.34</v>
      </c>
      <c r="G225" s="18">
        <v>15616.459999999997</v>
      </c>
      <c r="H225" s="18">
        <v>27046.74</v>
      </c>
      <c r="I225" s="18">
        <v>13629.599999999999</v>
      </c>
      <c r="J225" s="18">
        <v>84</v>
      </c>
      <c r="K225" s="18">
        <v>853.94</v>
      </c>
      <c r="L225" s="19">
        <f t="shared" si="2"/>
        <v>103555.07999999999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14891.4</v>
      </c>
      <c r="G226" s="18">
        <v>6398.5499999999993</v>
      </c>
      <c r="H226" s="18">
        <v>3659.4</v>
      </c>
      <c r="I226" s="18">
        <v>2534.4699999999998</v>
      </c>
      <c r="J226" s="18">
        <v>9056.81</v>
      </c>
      <c r="K226" s="18">
        <v>0</v>
      </c>
      <c r="L226" s="19">
        <f>SUM(F226:K226)</f>
        <v>36540.629999999997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995041.92</v>
      </c>
      <c r="G228" s="41">
        <f>SUM(G214:G227)</f>
        <v>499305.17999999993</v>
      </c>
      <c r="H228" s="41">
        <f>SUM(H214:H227)</f>
        <v>205015.05</v>
      </c>
      <c r="I228" s="41">
        <f>SUM(I214:I227)</f>
        <v>125325.99000000002</v>
      </c>
      <c r="J228" s="41">
        <f>SUM(J214:J227)</f>
        <v>25766.080000000002</v>
      </c>
      <c r="K228" s="41">
        <f t="shared" si="3"/>
        <v>5182.43</v>
      </c>
      <c r="L228" s="41">
        <f t="shared" si="3"/>
        <v>1855636.65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597882.81000000006</v>
      </c>
      <c r="G232" s="18">
        <v>278868.87999999995</v>
      </c>
      <c r="H232" s="18">
        <v>7513.55</v>
      </c>
      <c r="I232" s="18">
        <v>38217.68</v>
      </c>
      <c r="J232" s="18">
        <v>9475.75</v>
      </c>
      <c r="K232" s="18">
        <v>338</v>
      </c>
      <c r="L232" s="19">
        <f>SUM(F232:K232)</f>
        <v>932296.67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251683.02</v>
      </c>
      <c r="G233" s="18">
        <v>149274.57</v>
      </c>
      <c r="H233" s="18">
        <v>179599.22</v>
      </c>
      <c r="I233" s="18">
        <v>1410.13</v>
      </c>
      <c r="J233" s="18">
        <v>1063.97</v>
      </c>
      <c r="K233" s="18">
        <v>0</v>
      </c>
      <c r="L233" s="19">
        <f>SUM(F233:K233)</f>
        <v>583030.90999999992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40932</v>
      </c>
      <c r="G234" s="18">
        <v>13463.48</v>
      </c>
      <c r="H234" s="18">
        <v>40085.01</v>
      </c>
      <c r="I234" s="18">
        <v>0</v>
      </c>
      <c r="J234" s="18">
        <v>0</v>
      </c>
      <c r="K234" s="18">
        <v>0</v>
      </c>
      <c r="L234" s="19">
        <f>SUM(F234:K234)</f>
        <v>94480.489999999991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38910.5</v>
      </c>
      <c r="G235" s="18">
        <v>6302.05</v>
      </c>
      <c r="H235" s="18">
        <v>17779.32</v>
      </c>
      <c r="I235" s="18">
        <v>6198.13</v>
      </c>
      <c r="J235" s="18">
        <v>5118.5</v>
      </c>
      <c r="K235" s="18">
        <v>1550</v>
      </c>
      <c r="L235" s="19">
        <f>SUM(F235:K235)</f>
        <v>75858.5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102591.56999999999</v>
      </c>
      <c r="G237" s="18">
        <v>51483.27</v>
      </c>
      <c r="H237" s="18">
        <v>14387.81</v>
      </c>
      <c r="I237" s="18">
        <v>1308.2</v>
      </c>
      <c r="J237" s="18">
        <v>269.99</v>
      </c>
      <c r="K237" s="18">
        <v>40</v>
      </c>
      <c r="L237" s="19">
        <f t="shared" ref="L237:L243" si="4">SUM(F237:K237)</f>
        <v>170080.84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35875.120000000003</v>
      </c>
      <c r="G238" s="18">
        <v>31882.55</v>
      </c>
      <c r="H238" s="18">
        <v>1459</v>
      </c>
      <c r="I238" s="18">
        <v>6018.7699999999995</v>
      </c>
      <c r="J238" s="18">
        <v>859.87</v>
      </c>
      <c r="K238" s="18">
        <v>0</v>
      </c>
      <c r="L238" s="19">
        <f t="shared" si="4"/>
        <v>76095.31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3192.6499999999996</v>
      </c>
      <c r="G239" s="18">
        <v>307.67</v>
      </c>
      <c r="H239" s="18">
        <v>145591.54</v>
      </c>
      <c r="I239" s="18">
        <v>0</v>
      </c>
      <c r="J239" s="18">
        <v>0</v>
      </c>
      <c r="K239" s="18">
        <v>0</v>
      </c>
      <c r="L239" s="19">
        <f t="shared" si="4"/>
        <v>149091.86000000002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85415.17</v>
      </c>
      <c r="G240" s="18">
        <v>38894</v>
      </c>
      <c r="H240" s="18">
        <v>9506.44</v>
      </c>
      <c r="I240" s="18">
        <v>1973.11</v>
      </c>
      <c r="J240" s="18">
        <v>0</v>
      </c>
      <c r="K240" s="18">
        <v>2342.2399999999998</v>
      </c>
      <c r="L240" s="19">
        <f t="shared" si="4"/>
        <v>138130.95999999996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f>0</f>
        <v>0</v>
      </c>
      <c r="H241" s="18">
        <f>0</f>
        <v>0</v>
      </c>
      <c r="I241" s="18">
        <v>0</v>
      </c>
      <c r="J241" s="18">
        <f>0</f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70732.52</v>
      </c>
      <c r="G242" s="18">
        <v>37372.200000000004</v>
      </c>
      <c r="H242" s="18">
        <v>57968.27</v>
      </c>
      <c r="I242" s="18">
        <v>73918.39</v>
      </c>
      <c r="J242" s="18">
        <v>1986.69</v>
      </c>
      <c r="K242" s="18">
        <v>305.08999999999997</v>
      </c>
      <c r="L242" s="19">
        <f t="shared" si="4"/>
        <v>242283.16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69486.52</v>
      </c>
      <c r="G243" s="18">
        <v>23626.66</v>
      </c>
      <c r="H243" s="18">
        <v>39497.58</v>
      </c>
      <c r="I243" s="18">
        <v>20444.400000000001</v>
      </c>
      <c r="J243" s="18">
        <v>126</v>
      </c>
      <c r="K243" s="18">
        <v>1280.9100000000001</v>
      </c>
      <c r="L243" s="19">
        <f t="shared" si="4"/>
        <v>154462.07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14480.1</v>
      </c>
      <c r="G244" s="18">
        <v>6364.3399999999992</v>
      </c>
      <c r="H244" s="18">
        <v>5489.1</v>
      </c>
      <c r="I244" s="18">
        <v>3801.7</v>
      </c>
      <c r="J244" s="18">
        <v>9438.17</v>
      </c>
      <c r="K244" s="18">
        <v>0</v>
      </c>
      <c r="L244" s="19">
        <f>SUM(F244:K244)</f>
        <v>39573.410000000003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1311181.98</v>
      </c>
      <c r="G246" s="41">
        <f t="shared" si="5"/>
        <v>637839.66999999993</v>
      </c>
      <c r="H246" s="41">
        <f t="shared" si="5"/>
        <v>518876.84</v>
      </c>
      <c r="I246" s="41">
        <f t="shared" si="5"/>
        <v>153290.51</v>
      </c>
      <c r="J246" s="41">
        <f t="shared" si="5"/>
        <v>28338.939999999995</v>
      </c>
      <c r="K246" s="41">
        <f t="shared" si="5"/>
        <v>5856.24</v>
      </c>
      <c r="L246" s="41">
        <f t="shared" si="5"/>
        <v>2655384.1800000002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4024824.27</v>
      </c>
      <c r="G256" s="41">
        <f t="shared" si="8"/>
        <v>1935387.5699999998</v>
      </c>
      <c r="H256" s="41">
        <f t="shared" si="8"/>
        <v>1786705.9400000002</v>
      </c>
      <c r="I256" s="41">
        <f t="shared" si="8"/>
        <v>500183.9</v>
      </c>
      <c r="J256" s="41">
        <f t="shared" si="8"/>
        <v>79726.720000000001</v>
      </c>
      <c r="K256" s="41">
        <f t="shared" si="8"/>
        <v>15522.2</v>
      </c>
      <c r="L256" s="41">
        <f t="shared" si="8"/>
        <v>8342350.5999999996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275000</v>
      </c>
      <c r="L259" s="19">
        <f>SUM(F259:K259)</f>
        <v>275000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119830.5</v>
      </c>
      <c r="L260" s="19">
        <f>SUM(F260:K260)</f>
        <v>119830.5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73704.92</v>
      </c>
      <c r="L262" s="19">
        <f>SUM(F262:K262)</f>
        <v>73704.92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543535.41999999993</v>
      </c>
      <c r="L269" s="41">
        <f t="shared" si="9"/>
        <v>543535.41999999993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4024824.27</v>
      </c>
      <c r="G270" s="42">
        <f t="shared" si="11"/>
        <v>1935387.5699999998</v>
      </c>
      <c r="H270" s="42">
        <f t="shared" si="11"/>
        <v>1786705.9400000002</v>
      </c>
      <c r="I270" s="42">
        <f t="shared" si="11"/>
        <v>500183.9</v>
      </c>
      <c r="J270" s="42">
        <f t="shared" si="11"/>
        <v>79726.720000000001</v>
      </c>
      <c r="K270" s="42">
        <f t="shared" si="11"/>
        <v>559057.61999999988</v>
      </c>
      <c r="L270" s="42">
        <f t="shared" si="11"/>
        <v>8885886.0199999996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82330.02</v>
      </c>
      <c r="G275" s="18">
        <v>17383.27</v>
      </c>
      <c r="H275" s="18">
        <v>3665.7</v>
      </c>
      <c r="I275" s="18">
        <v>4291.99</v>
      </c>
      <c r="J275" s="18">
        <v>0</v>
      </c>
      <c r="K275" s="18">
        <v>0</v>
      </c>
      <c r="L275" s="19">
        <f>SUM(F275:K275)</f>
        <v>107670.98000000001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600</v>
      </c>
      <c r="G276" s="18">
        <v>106.19999999999999</v>
      </c>
      <c r="H276" s="18">
        <v>44.67</v>
      </c>
      <c r="I276" s="18">
        <v>0</v>
      </c>
      <c r="J276" s="18">
        <v>0</v>
      </c>
      <c r="K276" s="18">
        <v>0</v>
      </c>
      <c r="L276" s="19">
        <f>SUM(F276:K276)</f>
        <v>750.87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368.8</v>
      </c>
      <c r="G281" s="18">
        <v>28.23</v>
      </c>
      <c r="H281" s="18">
        <v>27833.83</v>
      </c>
      <c r="I281" s="18">
        <v>202.26</v>
      </c>
      <c r="J281" s="18">
        <v>0</v>
      </c>
      <c r="K281" s="18">
        <v>0</v>
      </c>
      <c r="L281" s="19">
        <f t="shared" si="12"/>
        <v>28433.119999999999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7192.4000000000005</v>
      </c>
      <c r="L284" s="19">
        <f t="shared" si="12"/>
        <v>7192.4000000000005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83298.820000000007</v>
      </c>
      <c r="G289" s="42">
        <f t="shared" si="13"/>
        <v>17517.7</v>
      </c>
      <c r="H289" s="42">
        <f t="shared" si="13"/>
        <v>31544.2</v>
      </c>
      <c r="I289" s="42">
        <f t="shared" si="13"/>
        <v>4494.25</v>
      </c>
      <c r="J289" s="42">
        <f t="shared" si="13"/>
        <v>0</v>
      </c>
      <c r="K289" s="42">
        <f t="shared" si="13"/>
        <v>7192.4000000000005</v>
      </c>
      <c r="L289" s="41">
        <f t="shared" si="13"/>
        <v>144047.37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151513.41000000006</v>
      </c>
      <c r="G294" s="18">
        <v>53702.92</v>
      </c>
      <c r="H294" s="18">
        <v>12151.18</v>
      </c>
      <c r="I294" s="18">
        <v>15404.72</v>
      </c>
      <c r="J294" s="18">
        <v>37448.979999999996</v>
      </c>
      <c r="K294" s="18">
        <v>0</v>
      </c>
      <c r="L294" s="19">
        <f>SUM(F294:K294)</f>
        <v>270221.21000000008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360</v>
      </c>
      <c r="G295" s="18">
        <v>63.72</v>
      </c>
      <c r="H295" s="18">
        <v>26.81</v>
      </c>
      <c r="I295" s="18">
        <v>0</v>
      </c>
      <c r="J295" s="18">
        <v>0</v>
      </c>
      <c r="K295" s="18">
        <v>0</v>
      </c>
      <c r="L295" s="19">
        <f>SUM(F295:K295)</f>
        <v>450.53000000000003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221.28</v>
      </c>
      <c r="G300" s="18">
        <v>16.940000000000001</v>
      </c>
      <c r="H300" s="18">
        <v>123103.81999999999</v>
      </c>
      <c r="I300" s="18">
        <v>121.36</v>
      </c>
      <c r="J300" s="18">
        <v>0</v>
      </c>
      <c r="K300" s="18">
        <v>0</v>
      </c>
      <c r="L300" s="19">
        <f t="shared" si="14"/>
        <v>123463.4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15982.12</v>
      </c>
      <c r="L303" s="19">
        <f t="shared" si="14"/>
        <v>15982.12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152094.69000000006</v>
      </c>
      <c r="G308" s="42">
        <f t="shared" si="15"/>
        <v>53783.58</v>
      </c>
      <c r="H308" s="42">
        <f t="shared" si="15"/>
        <v>135281.81</v>
      </c>
      <c r="I308" s="42">
        <f t="shared" si="15"/>
        <v>15526.08</v>
      </c>
      <c r="J308" s="42">
        <f t="shared" si="15"/>
        <v>37448.979999999996</v>
      </c>
      <c r="K308" s="42">
        <f t="shared" si="15"/>
        <v>15982.12</v>
      </c>
      <c r="L308" s="41">
        <f t="shared" si="15"/>
        <v>410117.26000000013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101661.33999999998</v>
      </c>
      <c r="G313" s="18">
        <v>17814.449999999997</v>
      </c>
      <c r="H313" s="18">
        <v>14059.679999999998</v>
      </c>
      <c r="I313" s="18">
        <v>18883.86</v>
      </c>
      <c r="J313" s="18">
        <v>57348.979999999996</v>
      </c>
      <c r="K313" s="18">
        <v>0</v>
      </c>
      <c r="L313" s="19">
        <f>SUM(F313:K313)</f>
        <v>209768.30999999994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540</v>
      </c>
      <c r="G314" s="18">
        <v>95.59</v>
      </c>
      <c r="H314" s="18">
        <v>40.21</v>
      </c>
      <c r="I314" s="18">
        <v>0</v>
      </c>
      <c r="J314" s="18">
        <v>0</v>
      </c>
      <c r="K314" s="18">
        <v>0</v>
      </c>
      <c r="L314" s="19">
        <f>SUM(F314:K314)</f>
        <v>675.80000000000007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331.92</v>
      </c>
      <c r="G319" s="18">
        <v>25.41</v>
      </c>
      <c r="H319" s="18">
        <v>136499.45000000001</v>
      </c>
      <c r="I319" s="18">
        <v>182.04</v>
      </c>
      <c r="J319" s="18">
        <v>0</v>
      </c>
      <c r="K319" s="18">
        <v>0</v>
      </c>
      <c r="L319" s="19">
        <f t="shared" si="16"/>
        <v>137038.82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21346.899999999998</v>
      </c>
      <c r="L322" s="19">
        <f t="shared" si="16"/>
        <v>21346.899999999998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102533.25999999998</v>
      </c>
      <c r="G327" s="42">
        <f t="shared" si="17"/>
        <v>17935.449999999997</v>
      </c>
      <c r="H327" s="42">
        <f t="shared" si="17"/>
        <v>150599.34</v>
      </c>
      <c r="I327" s="42">
        <f t="shared" si="17"/>
        <v>19065.900000000001</v>
      </c>
      <c r="J327" s="42">
        <f t="shared" si="17"/>
        <v>57348.979999999996</v>
      </c>
      <c r="K327" s="42">
        <f t="shared" si="17"/>
        <v>21346.899999999998</v>
      </c>
      <c r="L327" s="41">
        <f t="shared" si="17"/>
        <v>368829.82999999996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337926.77</v>
      </c>
      <c r="G337" s="41">
        <f t="shared" si="20"/>
        <v>89236.73</v>
      </c>
      <c r="H337" s="41">
        <f t="shared" si="20"/>
        <v>317425.34999999998</v>
      </c>
      <c r="I337" s="41">
        <f t="shared" si="20"/>
        <v>39086.230000000003</v>
      </c>
      <c r="J337" s="41">
        <f t="shared" si="20"/>
        <v>94797.959999999992</v>
      </c>
      <c r="K337" s="41">
        <f t="shared" si="20"/>
        <v>44521.42</v>
      </c>
      <c r="L337" s="41">
        <f t="shared" si="20"/>
        <v>922994.46000000008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337926.77</v>
      </c>
      <c r="G351" s="41">
        <f>G337</f>
        <v>89236.73</v>
      </c>
      <c r="H351" s="41">
        <f>H337</f>
        <v>317425.34999999998</v>
      </c>
      <c r="I351" s="41">
        <f>I337</f>
        <v>39086.230000000003</v>
      </c>
      <c r="J351" s="41">
        <f>J337</f>
        <v>94797.959999999992</v>
      </c>
      <c r="K351" s="47">
        <f>K337+K350</f>
        <v>44521.42</v>
      </c>
      <c r="L351" s="41">
        <f>L337+L350</f>
        <v>922994.46000000008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52088.38</v>
      </c>
      <c r="G357" s="18">
        <v>20208.849999999995</v>
      </c>
      <c r="H357" s="18">
        <v>537.66</v>
      </c>
      <c r="I357" s="18">
        <v>57099.94</v>
      </c>
      <c r="J357" s="18">
        <v>1205.46</v>
      </c>
      <c r="K357" s="18">
        <v>120.9</v>
      </c>
      <c r="L357" s="13">
        <f>SUM(F357:K357)</f>
        <v>131261.19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31253.030000000002</v>
      </c>
      <c r="G358" s="18">
        <v>12148.429999999998</v>
      </c>
      <c r="H358" s="18">
        <v>322.59000000000003</v>
      </c>
      <c r="I358" s="18">
        <v>19466.650000000001</v>
      </c>
      <c r="J358" s="18">
        <v>723.28</v>
      </c>
      <c r="K358" s="18">
        <v>72.540000000000006</v>
      </c>
      <c r="L358" s="19">
        <f>SUM(F358:K358)</f>
        <v>63986.52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46879.539999999994</v>
      </c>
      <c r="G359" s="18">
        <v>18358.89</v>
      </c>
      <c r="H359" s="18">
        <v>483.9</v>
      </c>
      <c r="I359" s="18">
        <v>29199.980000000003</v>
      </c>
      <c r="J359" s="18">
        <v>1084.9100000000001</v>
      </c>
      <c r="K359" s="18">
        <v>108.81</v>
      </c>
      <c r="L359" s="19">
        <f>SUM(F359:K359)</f>
        <v>96116.03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130220.95</v>
      </c>
      <c r="G361" s="47">
        <f t="shared" si="22"/>
        <v>50716.169999999991</v>
      </c>
      <c r="H361" s="47">
        <f t="shared" si="22"/>
        <v>1344.15</v>
      </c>
      <c r="I361" s="47">
        <f t="shared" si="22"/>
        <v>105766.57</v>
      </c>
      <c r="J361" s="47">
        <f t="shared" si="22"/>
        <v>3013.65</v>
      </c>
      <c r="K361" s="47">
        <f t="shared" si="22"/>
        <v>302.25</v>
      </c>
      <c r="L361" s="47">
        <f t="shared" si="22"/>
        <v>291363.74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56372.06</v>
      </c>
      <c r="G366" s="18">
        <v>19029.93</v>
      </c>
      <c r="H366" s="18">
        <v>28544.9</v>
      </c>
      <c r="I366" s="56">
        <f>SUM(F366:H366)</f>
        <v>103946.88999999998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727.88</v>
      </c>
      <c r="G367" s="63">
        <v>436.72</v>
      </c>
      <c r="H367" s="63">
        <v>655.08000000000004</v>
      </c>
      <c r="I367" s="56">
        <f>SUM(F367:H367)</f>
        <v>1819.6799999999998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57099.939999999995</v>
      </c>
      <c r="G368" s="47">
        <f>SUM(G366:G367)</f>
        <v>19466.650000000001</v>
      </c>
      <c r="H368" s="47">
        <f>SUM(H366:H367)</f>
        <v>29199.980000000003</v>
      </c>
      <c r="I368" s="47">
        <f>SUM(I366:I367)</f>
        <v>105766.56999999998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5355</v>
      </c>
      <c r="I378" s="18">
        <v>0</v>
      </c>
      <c r="J378" s="18">
        <v>0</v>
      </c>
      <c r="K378" s="18">
        <v>0</v>
      </c>
      <c r="L378" s="13">
        <f t="shared" si="23"/>
        <v>5355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5355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5355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70.540000000000006</v>
      </c>
      <c r="I389" s="18">
        <v>0</v>
      </c>
      <c r="J389" s="24" t="s">
        <v>289</v>
      </c>
      <c r="K389" s="24" t="s">
        <v>289</v>
      </c>
      <c r="L389" s="56">
        <f t="shared" si="25"/>
        <v>70.540000000000006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70.540000000000006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70.540000000000006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50000</v>
      </c>
      <c r="H395" s="18">
        <v>887.07</v>
      </c>
      <c r="I395" s="18">
        <v>0</v>
      </c>
      <c r="J395" s="24" t="s">
        <v>289</v>
      </c>
      <c r="K395" s="24" t="s">
        <v>289</v>
      </c>
      <c r="L395" s="56">
        <f t="shared" si="26"/>
        <v>50887.07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25000</v>
      </c>
      <c r="H396" s="18">
        <v>161.21</v>
      </c>
      <c r="I396" s="18">
        <v>0</v>
      </c>
      <c r="J396" s="24" t="s">
        <v>289</v>
      </c>
      <c r="K396" s="24" t="s">
        <v>289</v>
      </c>
      <c r="L396" s="56">
        <f t="shared" si="26"/>
        <v>25161.21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12.68</v>
      </c>
      <c r="I398" s="18">
        <v>0</v>
      </c>
      <c r="J398" s="24" t="s">
        <v>289</v>
      </c>
      <c r="K398" s="24" t="s">
        <v>289</v>
      </c>
      <c r="L398" s="56">
        <f t="shared" si="26"/>
        <v>12.68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1060.96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76060.959999999992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1131.5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76131.499999999985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89336.81</v>
      </c>
      <c r="I414" s="18">
        <v>0</v>
      </c>
      <c r="J414" s="18">
        <v>0</v>
      </c>
      <c r="K414" s="18">
        <v>0</v>
      </c>
      <c r="L414" s="56">
        <f t="shared" si="27"/>
        <v>89336.81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89336.81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89336.81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89336.81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89336.81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85478.26</v>
      </c>
      <c r="G439" s="18">
        <v>0</v>
      </c>
      <c r="H439" s="18">
        <v>0</v>
      </c>
      <c r="I439" s="56">
        <f t="shared" si="33"/>
        <v>85478.26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85478.26</v>
      </c>
      <c r="G445" s="13">
        <f>SUM(G438:G444)</f>
        <v>0</v>
      </c>
      <c r="H445" s="13">
        <f>SUM(H438:H444)</f>
        <v>0</v>
      </c>
      <c r="I445" s="13">
        <f>SUM(I438:I444)</f>
        <v>85478.26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85478.26</v>
      </c>
      <c r="G458" s="18">
        <v>0</v>
      </c>
      <c r="H458" s="18">
        <v>0</v>
      </c>
      <c r="I458" s="56">
        <f t="shared" si="34"/>
        <v>85478.26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85478.26</v>
      </c>
      <c r="G459" s="83">
        <f>SUM(G453:G458)</f>
        <v>0</v>
      </c>
      <c r="H459" s="83">
        <f>SUM(H453:H458)</f>
        <v>0</v>
      </c>
      <c r="I459" s="83">
        <f>SUM(I453:I458)</f>
        <v>85478.26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85478.26</v>
      </c>
      <c r="G460" s="42">
        <f>G451+G459</f>
        <v>0</v>
      </c>
      <c r="H460" s="42">
        <f>H451+H459</f>
        <v>0</v>
      </c>
      <c r="I460" s="42">
        <f>I451+I459</f>
        <v>85478.26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334606.98000000231</v>
      </c>
      <c r="G464" s="18">
        <v>0</v>
      </c>
      <c r="H464" s="18">
        <v>0</v>
      </c>
      <c r="I464" s="18">
        <v>199240.65</v>
      </c>
      <c r="J464" s="18">
        <v>118683.56999999999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8768981.3100000005</v>
      </c>
      <c r="G467" s="18">
        <f>G192</f>
        <v>288432.09999999998</v>
      </c>
      <c r="H467" s="18">
        <f>H192</f>
        <v>922994.46</v>
      </c>
      <c r="I467" s="18">
        <f>I192</f>
        <v>323.75</v>
      </c>
      <c r="J467" s="18">
        <f>J192</f>
        <v>76131.5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16100.86</v>
      </c>
      <c r="G468" s="18">
        <v>2931.64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8785082.1699999999</v>
      </c>
      <c r="G469" s="53">
        <f>SUM(G467:G468)</f>
        <v>291363.74</v>
      </c>
      <c r="H469" s="53">
        <f>SUM(H467:H468)</f>
        <v>922994.46</v>
      </c>
      <c r="I469" s="53">
        <f>SUM(I467:I468)</f>
        <v>323.75</v>
      </c>
      <c r="J469" s="53">
        <f>SUM(J467:J468)</f>
        <v>76131.5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8885886.0199999996</v>
      </c>
      <c r="G471" s="18">
        <f>L361</f>
        <v>291363.74</v>
      </c>
      <c r="H471" s="18">
        <f>L337</f>
        <v>922994.46000000008</v>
      </c>
      <c r="I471" s="18">
        <f>L381</f>
        <v>5355</v>
      </c>
      <c r="J471" s="18">
        <f>L433</f>
        <v>89336.81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20000</v>
      </c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8885886.0199999996</v>
      </c>
      <c r="G473" s="53">
        <f>SUM(G471:G472)</f>
        <v>291363.74</v>
      </c>
      <c r="H473" s="53">
        <f>SUM(H471:H472)</f>
        <v>922994.46000000008</v>
      </c>
      <c r="I473" s="53">
        <f>SUM(I471:I472)</f>
        <v>5355</v>
      </c>
      <c r="J473" s="53">
        <f>SUM(J471:J472)</f>
        <v>109336.81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233803.13000000268</v>
      </c>
      <c r="G475" s="53">
        <f>(G464+G469)- G473</f>
        <v>0</v>
      </c>
      <c r="H475" s="53">
        <f>(H464+H469)- H473</f>
        <v>0</v>
      </c>
      <c r="I475" s="53">
        <f>(I464+I469)- I473</f>
        <v>194209.4</v>
      </c>
      <c r="J475" s="53">
        <f>(J464+J469)- J473</f>
        <v>85478.260000000009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0</v>
      </c>
      <c r="H489" s="154">
        <v>1</v>
      </c>
      <c r="I489" s="154">
        <v>2</v>
      </c>
      <c r="J489" s="154">
        <v>3</v>
      </c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912</v>
      </c>
      <c r="I490" s="155" t="s">
        <v>912</v>
      </c>
      <c r="J490" s="155" t="s">
        <v>912</v>
      </c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5" t="s">
        <v>912</v>
      </c>
      <c r="I491" s="155" t="s">
        <v>912</v>
      </c>
      <c r="J491" s="155" t="s">
        <v>912</v>
      </c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4097790</v>
      </c>
      <c r="G492" s="18">
        <v>0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2725000</v>
      </c>
      <c r="G494" s="18">
        <v>0</v>
      </c>
      <c r="H494" s="18">
        <v>0</v>
      </c>
      <c r="I494" s="18">
        <v>0</v>
      </c>
      <c r="J494" s="18">
        <v>0</v>
      </c>
      <c r="K494" s="53">
        <f>SUM(F494:J494)</f>
        <v>2725000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f>F494-275000</f>
        <v>2450000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2450000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275000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si="35"/>
        <v>275000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2450000</v>
      </c>
      <c r="G497" s="205">
        <v>0</v>
      </c>
      <c r="H497" s="205">
        <v>0</v>
      </c>
      <c r="I497" s="205">
        <v>0</v>
      </c>
      <c r="J497" s="205">
        <v>0</v>
      </c>
      <c r="K497" s="206">
        <f t="shared" si="35"/>
        <v>2450000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1546860.54-57773.75-64648.75-64648.75-71523.75-71523.75-78398.75-78398.75-85273.75-85273.75-92148.75-92148.75-97604.55-110618.49-0.25</f>
        <v>496876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5"/>
        <v>496876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2946876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2946876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275000</v>
      </c>
      <c r="G500" s="205">
        <v>0</v>
      </c>
      <c r="H500" s="205">
        <v>0</v>
      </c>
      <c r="I500" s="205">
        <v>0</v>
      </c>
      <c r="J500" s="205">
        <v>0</v>
      </c>
      <c r="K500" s="206">
        <f t="shared" si="35"/>
        <v>275000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57773.75+50898.75</f>
        <v>108672.5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5"/>
        <v>108672.5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383672.5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383672.5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</f>
        <v>334020.67000000004</v>
      </c>
      <c r="G520" s="18">
        <f>G197</f>
        <v>156414.90000000002</v>
      </c>
      <c r="H520" s="18">
        <f t="shared" ref="H520:K520" si="36">H197</f>
        <v>697058.97000000009</v>
      </c>
      <c r="I520" s="18">
        <f t="shared" si="36"/>
        <v>2159.0700000000002</v>
      </c>
      <c r="J520" s="18">
        <f t="shared" si="36"/>
        <v>1528.71</v>
      </c>
      <c r="K520" s="18">
        <f t="shared" si="36"/>
        <v>0</v>
      </c>
      <c r="L520" s="88">
        <f>SUM(F520:K520)</f>
        <v>1191182.32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</f>
        <v>184520.08000000002</v>
      </c>
      <c r="G521" s="18">
        <f t="shared" ref="G521:K521" si="37">G215</f>
        <v>116388.47</v>
      </c>
      <c r="H521" s="18">
        <f t="shared" si="37"/>
        <v>4171.7900000000009</v>
      </c>
      <c r="I521" s="18">
        <f t="shared" si="37"/>
        <v>2488.81</v>
      </c>
      <c r="J521" s="18">
        <f t="shared" si="37"/>
        <v>2053.73</v>
      </c>
      <c r="K521" s="18">
        <f t="shared" si="37"/>
        <v>69</v>
      </c>
      <c r="L521" s="88">
        <f>SUM(F521:K521)</f>
        <v>309691.88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</f>
        <v>251683.02</v>
      </c>
      <c r="G522" s="18">
        <f t="shared" ref="G522:K522" si="38">G233</f>
        <v>149274.57</v>
      </c>
      <c r="H522" s="18">
        <f t="shared" si="38"/>
        <v>179599.22</v>
      </c>
      <c r="I522" s="18">
        <f t="shared" si="38"/>
        <v>1410.13</v>
      </c>
      <c r="J522" s="18">
        <f t="shared" si="38"/>
        <v>1063.97</v>
      </c>
      <c r="K522" s="18">
        <f t="shared" si="38"/>
        <v>0</v>
      </c>
      <c r="L522" s="88">
        <f>SUM(F522:K522)</f>
        <v>583030.90999999992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770223.77</v>
      </c>
      <c r="G523" s="108">
        <f t="shared" ref="G523:L523" si="39">SUM(G520:G522)</f>
        <v>422077.94</v>
      </c>
      <c r="H523" s="108">
        <f t="shared" si="39"/>
        <v>880829.9800000001</v>
      </c>
      <c r="I523" s="108">
        <f t="shared" si="39"/>
        <v>6058.01</v>
      </c>
      <c r="J523" s="108">
        <f t="shared" si="39"/>
        <v>4646.41</v>
      </c>
      <c r="K523" s="108">
        <f t="shared" si="39"/>
        <v>69</v>
      </c>
      <c r="L523" s="89">
        <f t="shared" si="39"/>
        <v>2083905.11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266952.90000000002</v>
      </c>
      <c r="I525" s="18">
        <v>0</v>
      </c>
      <c r="J525" s="18">
        <v>0</v>
      </c>
      <c r="K525" s="18">
        <v>0</v>
      </c>
      <c r="L525" s="88">
        <f>SUM(F525:K525)</f>
        <v>266952.90000000002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26497.7</v>
      </c>
      <c r="I527" s="18">
        <v>0</v>
      </c>
      <c r="J527" s="18">
        <v>0</v>
      </c>
      <c r="K527" s="18">
        <v>0</v>
      </c>
      <c r="L527" s="88">
        <f>SUM(F527:K527)</f>
        <v>26497.7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40">SUM(G525:G527)</f>
        <v>0</v>
      </c>
      <c r="H528" s="89">
        <f t="shared" si="40"/>
        <v>293450.60000000003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293450.60000000003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8624.34</v>
      </c>
      <c r="G530" s="18">
        <v>2384.4456</v>
      </c>
      <c r="H530" s="18">
        <v>82.8</v>
      </c>
      <c r="I530" s="18">
        <v>85.676400000000001</v>
      </c>
      <c r="J530" s="18">
        <v>0</v>
      </c>
      <c r="K530" s="18">
        <v>0</v>
      </c>
      <c r="L530" s="88">
        <f>SUM(F530:K530)</f>
        <v>11177.261999999999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3618.9504000000002</v>
      </c>
      <c r="G531" s="18">
        <v>1878.4764</v>
      </c>
      <c r="H531" s="18">
        <v>0</v>
      </c>
      <c r="I531" s="18">
        <v>85.031999999999996</v>
      </c>
      <c r="J531" s="18">
        <v>0</v>
      </c>
      <c r="K531" s="18">
        <v>0</v>
      </c>
      <c r="L531" s="88">
        <f>SUM(F531:K531)</f>
        <v>5582.4588000000003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5428.3896000000004</v>
      </c>
      <c r="G532" s="18">
        <v>2817.7326000000003</v>
      </c>
      <c r="H532" s="18">
        <v>0</v>
      </c>
      <c r="I532" s="18">
        <v>72</v>
      </c>
      <c r="J532" s="18">
        <v>0</v>
      </c>
      <c r="K532" s="18">
        <v>0</v>
      </c>
      <c r="L532" s="88">
        <f>SUM(F532:K532)</f>
        <v>8318.1222000000016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17671.68</v>
      </c>
      <c r="G533" s="89">
        <f t="shared" ref="G533:L533" si="41">SUM(G530:G532)</f>
        <v>7080.6546000000008</v>
      </c>
      <c r="H533" s="89">
        <f t="shared" si="41"/>
        <v>82.8</v>
      </c>
      <c r="I533" s="89">
        <f t="shared" si="41"/>
        <v>242.70839999999998</v>
      </c>
      <c r="J533" s="89">
        <f t="shared" si="41"/>
        <v>0</v>
      </c>
      <c r="K533" s="89">
        <f t="shared" si="41"/>
        <v>0</v>
      </c>
      <c r="L533" s="89">
        <f t="shared" si="41"/>
        <v>25077.843000000001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22504.2</v>
      </c>
      <c r="G540" s="18">
        <v>1890.67</v>
      </c>
      <c r="H540" s="18">
        <v>35241.370000000003</v>
      </c>
      <c r="I540" s="18">
        <v>0</v>
      </c>
      <c r="J540" s="18">
        <v>0</v>
      </c>
      <c r="K540" s="18">
        <v>0</v>
      </c>
      <c r="L540" s="88">
        <f>SUM(F540:K540)</f>
        <v>59636.240000000005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13489.92</v>
      </c>
      <c r="G541" s="18">
        <v>1116.06</v>
      </c>
      <c r="H541" s="18">
        <v>807.5</v>
      </c>
      <c r="I541" s="18">
        <v>0</v>
      </c>
      <c r="J541" s="18">
        <v>0</v>
      </c>
      <c r="K541" s="18">
        <v>0</v>
      </c>
      <c r="L541" s="88">
        <f>SUM(F541:K541)</f>
        <v>15413.48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20234.88</v>
      </c>
      <c r="G542" s="18">
        <v>1674.09</v>
      </c>
      <c r="H542" s="18">
        <v>138.69999999999999</v>
      </c>
      <c r="I542" s="18">
        <v>0</v>
      </c>
      <c r="J542" s="18">
        <v>0</v>
      </c>
      <c r="K542" s="18">
        <v>0</v>
      </c>
      <c r="L542" s="88">
        <f>SUM(F542:K542)</f>
        <v>22047.670000000002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56229</v>
      </c>
      <c r="G543" s="194">
        <f t="shared" ref="G543:L543" si="43">SUM(G540:G542)</f>
        <v>4680.82</v>
      </c>
      <c r="H543" s="194">
        <f t="shared" si="43"/>
        <v>36187.57</v>
      </c>
      <c r="I543" s="194">
        <f t="shared" si="43"/>
        <v>0</v>
      </c>
      <c r="J543" s="194">
        <f t="shared" si="43"/>
        <v>0</v>
      </c>
      <c r="K543" s="194">
        <f t="shared" si="43"/>
        <v>0</v>
      </c>
      <c r="L543" s="194">
        <f t="shared" si="43"/>
        <v>97097.39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844124.45000000007</v>
      </c>
      <c r="G544" s="89">
        <f t="shared" ref="G544:L544" si="44">G523+G528+G533+G538+G543</f>
        <v>433839.41460000002</v>
      </c>
      <c r="H544" s="89">
        <f t="shared" si="44"/>
        <v>1210550.9500000002</v>
      </c>
      <c r="I544" s="89">
        <f t="shared" si="44"/>
        <v>6300.7183999999997</v>
      </c>
      <c r="J544" s="89">
        <f t="shared" si="44"/>
        <v>4646.41</v>
      </c>
      <c r="K544" s="89">
        <f t="shared" si="44"/>
        <v>69</v>
      </c>
      <c r="L544" s="89">
        <f t="shared" si="44"/>
        <v>2499530.943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1191182.32</v>
      </c>
      <c r="G548" s="87">
        <f>L525</f>
        <v>266952.90000000002</v>
      </c>
      <c r="H548" s="87">
        <f>L530</f>
        <v>11177.261999999999</v>
      </c>
      <c r="I548" s="87">
        <f>L535</f>
        <v>0</v>
      </c>
      <c r="J548" s="87">
        <f>L540</f>
        <v>59636.240000000005</v>
      </c>
      <c r="K548" s="87">
        <f>SUM(F548:J548)</f>
        <v>1528948.7220000003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309691.88</v>
      </c>
      <c r="G549" s="87">
        <f>L526</f>
        <v>0</v>
      </c>
      <c r="H549" s="87">
        <f>L531</f>
        <v>5582.4588000000003</v>
      </c>
      <c r="I549" s="87">
        <f>L536</f>
        <v>0</v>
      </c>
      <c r="J549" s="87">
        <f>L541</f>
        <v>15413.48</v>
      </c>
      <c r="K549" s="87">
        <f>SUM(F549:J549)</f>
        <v>330687.81880000001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583030.90999999992</v>
      </c>
      <c r="G550" s="87">
        <f>L527</f>
        <v>26497.7</v>
      </c>
      <c r="H550" s="87">
        <f>L532</f>
        <v>8318.1222000000016</v>
      </c>
      <c r="I550" s="87">
        <f>L537</f>
        <v>0</v>
      </c>
      <c r="J550" s="87">
        <f>L542</f>
        <v>22047.670000000002</v>
      </c>
      <c r="K550" s="87">
        <f>SUM(F550:J550)</f>
        <v>639894.40219999989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2083905.11</v>
      </c>
      <c r="G551" s="89">
        <f t="shared" si="45"/>
        <v>293450.60000000003</v>
      </c>
      <c r="H551" s="89">
        <f t="shared" si="45"/>
        <v>25077.843000000001</v>
      </c>
      <c r="I551" s="89">
        <f t="shared" si="45"/>
        <v>0</v>
      </c>
      <c r="J551" s="89">
        <f t="shared" si="45"/>
        <v>97097.39</v>
      </c>
      <c r="K551" s="89">
        <f t="shared" si="45"/>
        <v>2499530.943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8">SUM(G566:G568)</f>
        <v>0</v>
      </c>
      <c r="H569" s="194">
        <f t="shared" si="48"/>
        <v>0</v>
      </c>
      <c r="I569" s="194">
        <f t="shared" si="48"/>
        <v>0</v>
      </c>
      <c r="J569" s="194">
        <f t="shared" si="48"/>
        <v>0</v>
      </c>
      <c r="K569" s="194">
        <f t="shared" si="48"/>
        <v>0</v>
      </c>
      <c r="L569" s="194">
        <f t="shared" si="48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230926.15</v>
      </c>
      <c r="G578" s="18">
        <v>0</v>
      </c>
      <c r="H578" s="18">
        <v>45258.33</v>
      </c>
      <c r="I578" s="87">
        <f t="shared" si="50"/>
        <v>276184.48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194187.41</v>
      </c>
      <c r="G581" s="18">
        <v>0</v>
      </c>
      <c r="H581" s="18">
        <v>102930.8</v>
      </c>
      <c r="I581" s="87">
        <f t="shared" si="50"/>
        <v>297118.21000000002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40085.01</v>
      </c>
      <c r="I583" s="87">
        <f t="shared" si="50"/>
        <v>40085.01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L207-SUM(H591:H596)</f>
        <v>128640.43000000001</v>
      </c>
      <c r="I590" s="18">
        <f>L225-SUM(I591:I596)</f>
        <v>82385.489999999991</v>
      </c>
      <c r="J590" s="18">
        <f>L243-SUM(J591:J596)</f>
        <v>97787.3</v>
      </c>
      <c r="K590" s="104">
        <f t="shared" ref="K590:K596" si="51">SUM(H590:J590)</f>
        <v>308813.21999999997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L540</f>
        <v>59636.240000000005</v>
      </c>
      <c r="I591" s="18">
        <f>L541</f>
        <v>15413.48</v>
      </c>
      <c r="J591" s="18">
        <f>L542</f>
        <v>22047.670000000002</v>
      </c>
      <c r="K591" s="104">
        <f t="shared" si="51"/>
        <v>97097.39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25992.959999999999</v>
      </c>
      <c r="K592" s="104">
        <f t="shared" si="51"/>
        <v>25992.959999999999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5247.45</v>
      </c>
      <c r="J593" s="18">
        <v>7871.1500000000005</v>
      </c>
      <c r="K593" s="104">
        <f t="shared" si="51"/>
        <v>13118.6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847.78</v>
      </c>
      <c r="I594" s="18">
        <v>508.66</v>
      </c>
      <c r="J594" s="18">
        <v>762.99</v>
      </c>
      <c r="K594" s="104">
        <f t="shared" si="51"/>
        <v>2119.4300000000003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51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189124.45</v>
      </c>
      <c r="I597" s="108">
        <f>SUM(I590:I596)</f>
        <v>103555.07999999999</v>
      </c>
      <c r="J597" s="108">
        <f>SUM(J590:J596)</f>
        <v>154462.06999999998</v>
      </c>
      <c r="K597" s="108">
        <f>SUM(K590:K596)</f>
        <v>447141.6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25621.7</v>
      </c>
      <c r="I603" s="18">
        <f>J228+J308</f>
        <v>63215.06</v>
      </c>
      <c r="J603" s="18">
        <f>J246+J327</f>
        <v>85687.919999999984</v>
      </c>
      <c r="K603" s="104">
        <f>SUM(H603:J603)</f>
        <v>174524.68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25621.7</v>
      </c>
      <c r="I604" s="108">
        <f>SUM(I601:I603)</f>
        <v>63215.06</v>
      </c>
      <c r="J604" s="108">
        <f>SUM(J601:J603)</f>
        <v>85687.919999999984</v>
      </c>
      <c r="K604" s="108">
        <f>SUM(K601:K603)</f>
        <v>174524.68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9719.86</v>
      </c>
      <c r="G610" s="18">
        <v>1074.8600000000001</v>
      </c>
      <c r="H610" s="18">
        <v>13671.380000000001</v>
      </c>
      <c r="I610" s="18">
        <v>672</v>
      </c>
      <c r="J610" s="18">
        <v>0</v>
      </c>
      <c r="K610" s="18">
        <v>246.83</v>
      </c>
      <c r="L610" s="88">
        <f>SUM(F610:K610)</f>
        <v>25384.930000000004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8037.42</v>
      </c>
      <c r="G611" s="18">
        <v>644.93000000000006</v>
      </c>
      <c r="H611" s="18">
        <v>8827.4</v>
      </c>
      <c r="I611" s="18">
        <v>403.2</v>
      </c>
      <c r="J611" s="18">
        <v>0</v>
      </c>
      <c r="K611" s="18">
        <v>148.1</v>
      </c>
      <c r="L611" s="88">
        <f>SUM(F611:K611)</f>
        <v>18061.05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8456.2699999999986</v>
      </c>
      <c r="G612" s="18">
        <v>967.38</v>
      </c>
      <c r="H612" s="18">
        <v>6812.3099999999995</v>
      </c>
      <c r="I612" s="18">
        <v>604.79999999999995</v>
      </c>
      <c r="J612" s="18">
        <v>0</v>
      </c>
      <c r="K612" s="18">
        <v>222.14999999999998</v>
      </c>
      <c r="L612" s="88">
        <f>SUM(F612:K612)</f>
        <v>17062.91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26213.549999999996</v>
      </c>
      <c r="G613" s="108">
        <f t="shared" si="52"/>
        <v>2687.17</v>
      </c>
      <c r="H613" s="108">
        <f t="shared" si="52"/>
        <v>29311.089999999997</v>
      </c>
      <c r="I613" s="108">
        <f t="shared" si="52"/>
        <v>1680</v>
      </c>
      <c r="J613" s="108">
        <f t="shared" si="52"/>
        <v>0</v>
      </c>
      <c r="K613" s="108">
        <f t="shared" si="52"/>
        <v>617.07999999999993</v>
      </c>
      <c r="L613" s="89">
        <f t="shared" si="52"/>
        <v>60508.89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345027.38</v>
      </c>
      <c r="H616" s="109">
        <f>SUM(F51)</f>
        <v>345027.38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5060.63</v>
      </c>
      <c r="H617" s="109">
        <f>SUM(G51)</f>
        <v>5060.63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20890.32</v>
      </c>
      <c r="H618" s="109">
        <f>SUM(H51)</f>
        <v>20890.32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231490.34</v>
      </c>
      <c r="H619" s="109">
        <f>SUM(I51)</f>
        <v>231490.34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85478.26</v>
      </c>
      <c r="H620" s="109">
        <f>SUM(J51)</f>
        <v>85478.26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233803.12999999998</v>
      </c>
      <c r="H621" s="109">
        <f>F475</f>
        <v>233803.13000000268</v>
      </c>
      <c r="I621" s="121" t="s">
        <v>101</v>
      </c>
      <c r="J621" s="109">
        <f t="shared" ref="J621:J654" si="53">G621-H621</f>
        <v>-2.7066562324762344E-9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194209.4</v>
      </c>
      <c r="H624" s="109">
        <f>I475</f>
        <v>194209.4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85478.26</v>
      </c>
      <c r="H625" s="109">
        <f>J475</f>
        <v>85478.260000000009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8768981.3100000005</v>
      </c>
      <c r="H626" s="104">
        <f>SUM(F467)</f>
        <v>8768981.3100000005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288432.09999999998</v>
      </c>
      <c r="H627" s="104">
        <f>SUM(G467)</f>
        <v>288432.09999999998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922994.46</v>
      </c>
      <c r="H628" s="104">
        <f>SUM(H467)</f>
        <v>922994.46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323.75</v>
      </c>
      <c r="H629" s="104">
        <f>SUM(I467)</f>
        <v>323.75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76131.5</v>
      </c>
      <c r="H630" s="104">
        <f>SUM(J467)</f>
        <v>76131.5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8885886.0199999996</v>
      </c>
      <c r="H631" s="104">
        <f>SUM(F471)</f>
        <v>8885886.0199999996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922994.46000000008</v>
      </c>
      <c r="H632" s="104">
        <f>SUM(H471)</f>
        <v>922994.46000000008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105766.57</v>
      </c>
      <c r="H633" s="104">
        <f>I368</f>
        <v>105766.56999999998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291363.74</v>
      </c>
      <c r="H634" s="104">
        <f>SUM(G471)</f>
        <v>291363.74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5355</v>
      </c>
      <c r="H635" s="104">
        <f>SUM(I471)</f>
        <v>5355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76131.499999999985</v>
      </c>
      <c r="H636" s="164">
        <f>SUM(J467)</f>
        <v>76131.5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89336.81</v>
      </c>
      <c r="H637" s="164">
        <f>SUM(J471)</f>
        <v>89336.81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85478.26</v>
      </c>
      <c r="H638" s="104">
        <f>SUM(F460)</f>
        <v>85478.26</v>
      </c>
      <c r="I638" s="140" t="s">
        <v>868</v>
      </c>
      <c r="J638" s="109">
        <f t="shared" si="53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3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3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85478.26</v>
      </c>
      <c r="H641" s="104">
        <f>SUM(I460)</f>
        <v>85478.26</v>
      </c>
      <c r="I641" s="140" t="s">
        <v>871</v>
      </c>
      <c r="J641" s="109">
        <f t="shared" si="53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1131.5</v>
      </c>
      <c r="H643" s="104">
        <f>H407</f>
        <v>1131.5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76131.5</v>
      </c>
      <c r="H645" s="104">
        <f>L407</f>
        <v>76131.499999999985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447141.6</v>
      </c>
      <c r="H646" s="104">
        <f>L207+L225+L243</f>
        <v>447141.60000000003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174524.68</v>
      </c>
      <c r="H647" s="104">
        <f>(J256+J337)-(J254+J335)</f>
        <v>174524.68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189124.45</v>
      </c>
      <c r="H648" s="104">
        <f>H597</f>
        <v>189124.45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103555.07999999999</v>
      </c>
      <c r="H649" s="104">
        <f>I597</f>
        <v>103555.07999999999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154462.07</v>
      </c>
      <c r="H650" s="104">
        <f>J597</f>
        <v>154462.06999999998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73704.92</v>
      </c>
      <c r="H651" s="104">
        <f>K262+K344</f>
        <v>73704.92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4106638.33</v>
      </c>
      <c r="G659" s="19">
        <f>(L228+L308+L358)</f>
        <v>2329740.4300000002</v>
      </c>
      <c r="H659" s="19">
        <f>(L246+L327+L359)</f>
        <v>3120330.04</v>
      </c>
      <c r="I659" s="19">
        <f>SUM(F659:H659)</f>
        <v>9556708.8000000007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32393.247464077038</v>
      </c>
      <c r="G660" s="19">
        <f>(L358/IF(SUM(L357:L359)=0,1,SUM(L357:L359))*(SUM(G96:G109)))</f>
        <v>15790.891250682051</v>
      </c>
      <c r="H660" s="19">
        <f>(L359/IF(SUM(L357:L359)=0,1,SUM(L357:L359))*(SUM(G96:G109)))</f>
        <v>23719.961285240919</v>
      </c>
      <c r="I660" s="19">
        <f>SUM(F660:H660)</f>
        <v>71904.100000000006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187674.45</v>
      </c>
      <c r="G661" s="19">
        <f>(L225+L305)-(J225+J305)</f>
        <v>103471.07999999999</v>
      </c>
      <c r="H661" s="19">
        <f>(L243+L324)-(J243+J324)</f>
        <v>154336.07</v>
      </c>
      <c r="I661" s="19">
        <f>SUM(F661:H661)</f>
        <v>445481.60000000003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476120.19</v>
      </c>
      <c r="G662" s="200">
        <f>SUM(G574:G586)+SUM(I601:I603)+L611</f>
        <v>81276.11</v>
      </c>
      <c r="H662" s="200">
        <f>SUM(H574:H586)+SUM(J601:J603)+L612</f>
        <v>291024.96999999997</v>
      </c>
      <c r="I662" s="19">
        <f>SUM(F662:H662)</f>
        <v>848421.27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3410450.4425359229</v>
      </c>
      <c r="G663" s="19">
        <f>G659-SUM(G660:G662)</f>
        <v>2129202.3487493182</v>
      </c>
      <c r="H663" s="19">
        <f>H659-SUM(H660:H662)</f>
        <v>2651249.0387147591</v>
      </c>
      <c r="I663" s="19">
        <f>I659-SUM(I660:I662)</f>
        <v>8190901.8300000001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266.22000000000003</v>
      </c>
      <c r="G664" s="249">
        <v>131.79</v>
      </c>
      <c r="H664" s="249">
        <v>200.75</v>
      </c>
      <c r="I664" s="19">
        <f>SUM(F664:H664)</f>
        <v>598.76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12810.65</v>
      </c>
      <c r="G666" s="19">
        <f>ROUND(G663/G664,2)</f>
        <v>16156.02</v>
      </c>
      <c r="H666" s="19">
        <f>ROUND(H663/H664,2)</f>
        <v>13206.72</v>
      </c>
      <c r="I666" s="19">
        <f>ROUND(I663/I664,2)</f>
        <v>13679.77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-11</v>
      </c>
      <c r="I669" s="19">
        <f>SUM(F669:H669)</f>
        <v>-11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12810.65</v>
      </c>
      <c r="G671" s="19">
        <f>ROUND((G663+G668)/(G664+G669),2)</f>
        <v>16156.02</v>
      </c>
      <c r="H671" s="19">
        <f>ROUND((H663+H668)/(H664+H669),2)</f>
        <v>13972.33</v>
      </c>
      <c r="I671" s="19">
        <f>ROUND((I663+I668)/(I664+I669),2)</f>
        <v>13935.79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Milton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2346973.42</v>
      </c>
      <c r="C9" s="230">
        <f>'DOE25'!G196+'DOE25'!G214+'DOE25'!G232+'DOE25'!G275+'DOE25'!G294+'DOE25'!G313</f>
        <v>1015150.2899999999</v>
      </c>
    </row>
    <row r="10" spans="1:3">
      <c r="A10" t="s">
        <v>779</v>
      </c>
      <c r="B10" s="241">
        <v>2053307.53</v>
      </c>
      <c r="C10" s="241">
        <v>922440.46999999962</v>
      </c>
    </row>
    <row r="11" spans="1:3">
      <c r="A11" t="s">
        <v>780</v>
      </c>
      <c r="B11" s="241">
        <v>55722.87</v>
      </c>
      <c r="C11" s="241">
        <v>21498.029999999995</v>
      </c>
    </row>
    <row r="12" spans="1:3">
      <c r="A12" t="s">
        <v>781</v>
      </c>
      <c r="B12" s="241">
        <f>+B9-B10-B11</f>
        <v>237943.0199999999</v>
      </c>
      <c r="C12" s="241">
        <f>+C9-C10-C11</f>
        <v>71211.790000000299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2346973.42</v>
      </c>
      <c r="C13" s="232">
        <f>SUM(C10:C12)</f>
        <v>1015150.2899999999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771723.77</v>
      </c>
      <c r="C18" s="230">
        <f>'DOE25'!G197+'DOE25'!G215+'DOE25'!G233+'DOE25'!G276+'DOE25'!G295+'DOE25'!G314</f>
        <v>422343.45</v>
      </c>
    </row>
    <row r="19" spans="1:3">
      <c r="A19" t="s">
        <v>779</v>
      </c>
      <c r="B19" s="241">
        <v>285217.46000000002</v>
      </c>
      <c r="C19" s="241">
        <v>206334.80000000013</v>
      </c>
    </row>
    <row r="20" spans="1:3">
      <c r="A20" t="s">
        <v>780</v>
      </c>
      <c r="B20" s="241">
        <v>305105.71000000002</v>
      </c>
      <c r="C20" s="241">
        <v>158430.07999999999</v>
      </c>
    </row>
    <row r="21" spans="1:3">
      <c r="A21" t="s">
        <v>781</v>
      </c>
      <c r="B21" s="241">
        <f>+B18-B20-B19</f>
        <v>181400.59999999998</v>
      </c>
      <c r="C21" s="241">
        <f>+C18-C20-C19</f>
        <v>57578.569999999861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771723.77</v>
      </c>
      <c r="C22" s="232">
        <f>SUM(C19:C21)</f>
        <v>422343.44999999995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40932</v>
      </c>
      <c r="C27" s="235">
        <f>'DOE25'!G198+'DOE25'!G216+'DOE25'!G234+'DOE25'!G277+'DOE25'!G296+'DOE25'!G315</f>
        <v>13463.48</v>
      </c>
    </row>
    <row r="28" spans="1:3">
      <c r="A28" t="s">
        <v>779</v>
      </c>
      <c r="B28" s="241">
        <v>40932</v>
      </c>
      <c r="C28" s="241">
        <v>13463.48</v>
      </c>
    </row>
    <row r="29" spans="1:3">
      <c r="A29" t="s">
        <v>780</v>
      </c>
      <c r="B29" s="241">
        <v>0</v>
      </c>
      <c r="C29" s="241">
        <v>0</v>
      </c>
    </row>
    <row r="30" spans="1:3">
      <c r="A30" t="s">
        <v>781</v>
      </c>
      <c r="B30" s="241">
        <f>+B27-B28-B29</f>
        <v>0</v>
      </c>
      <c r="C30" s="241">
        <f>+C27-C28-C29</f>
        <v>0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40932</v>
      </c>
      <c r="C31" s="232">
        <f>SUM(C28:C30)</f>
        <v>13463.48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91824.16</v>
      </c>
      <c r="C36" s="236">
        <f>'DOE25'!G199+'DOE25'!G217+'DOE25'!G235+'DOE25'!G278+'DOE25'!G297+'DOE25'!G316</f>
        <v>22617.13</v>
      </c>
    </row>
    <row r="37" spans="1:3">
      <c r="A37" t="s">
        <v>779</v>
      </c>
      <c r="B37" s="241">
        <v>91824.16</v>
      </c>
      <c r="C37" s="241">
        <v>22617.13</v>
      </c>
    </row>
    <row r="38" spans="1:3">
      <c r="A38" t="s">
        <v>780</v>
      </c>
      <c r="B38" s="241">
        <v>0</v>
      </c>
      <c r="C38" s="241">
        <v>0</v>
      </c>
    </row>
    <row r="39" spans="1:3">
      <c r="A39" t="s">
        <v>781</v>
      </c>
      <c r="B39" s="241">
        <f>+B36-B37-B38</f>
        <v>0</v>
      </c>
      <c r="C39" s="241">
        <f>+C36-C37-C38</f>
        <v>0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91824.16</v>
      </c>
      <c r="C40" s="232">
        <f>SUM(C37:C39)</f>
        <v>22617.13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Milton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5535822.8300000001</v>
      </c>
      <c r="D5" s="20">
        <f>SUM('DOE25'!L196:L199)+SUM('DOE25'!L214:L217)+SUM('DOE25'!L232:L235)-F5-G5</f>
        <v>5495760.7199999997</v>
      </c>
      <c r="E5" s="244"/>
      <c r="F5" s="256">
        <f>SUM('DOE25'!J196:J199)+SUM('DOE25'!J214:J217)+SUM('DOE25'!J232:J235)</f>
        <v>36705.410000000003</v>
      </c>
      <c r="G5" s="53">
        <f>SUM('DOE25'!K196:K199)+SUM('DOE25'!K214:K217)+SUM('DOE25'!K232:K235)</f>
        <v>3356.7</v>
      </c>
      <c r="H5" s="260"/>
    </row>
    <row r="6" spans="1:9">
      <c r="A6" s="32">
        <v>2100</v>
      </c>
      <c r="B6" t="s">
        <v>801</v>
      </c>
      <c r="C6" s="246">
        <f t="shared" si="0"/>
        <v>422865.17000000004</v>
      </c>
      <c r="D6" s="20">
        <f>'DOE25'!L201+'DOE25'!L219+'DOE25'!L237-F6-G6</f>
        <v>422515.18000000005</v>
      </c>
      <c r="E6" s="244"/>
      <c r="F6" s="256">
        <f>'DOE25'!J201+'DOE25'!J219+'DOE25'!J237</f>
        <v>269.99</v>
      </c>
      <c r="G6" s="53">
        <f>'DOE25'!K201+'DOE25'!K219+'DOE25'!K237</f>
        <v>80</v>
      </c>
      <c r="H6" s="260"/>
    </row>
    <row r="7" spans="1:9">
      <c r="A7" s="32">
        <v>2200</v>
      </c>
      <c r="B7" t="s">
        <v>834</v>
      </c>
      <c r="C7" s="246">
        <f t="shared" si="0"/>
        <v>216941.11000000002</v>
      </c>
      <c r="D7" s="20">
        <f>'DOE25'!L202+'DOE25'!L220+'DOE25'!L238-F7-G7</f>
        <v>216081.24000000002</v>
      </c>
      <c r="E7" s="244"/>
      <c r="F7" s="256">
        <f>'DOE25'!J202+'DOE25'!J220+'DOE25'!J238</f>
        <v>859.87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278397.56</v>
      </c>
      <c r="D8" s="244"/>
      <c r="E8" s="20">
        <f>'DOE25'!L203+'DOE25'!L221+'DOE25'!L239-F8-G8-D9-D11</f>
        <v>274715.74</v>
      </c>
      <c r="F8" s="256">
        <f>'DOE25'!J203+'DOE25'!J221+'DOE25'!J239</f>
        <v>0</v>
      </c>
      <c r="G8" s="53">
        <f>'DOE25'!K203+'DOE25'!K221+'DOE25'!K239</f>
        <v>3681.82</v>
      </c>
      <c r="H8" s="260"/>
    </row>
    <row r="9" spans="1:9">
      <c r="A9" s="32">
        <v>2310</v>
      </c>
      <c r="B9" t="s">
        <v>818</v>
      </c>
      <c r="C9" s="246">
        <f t="shared" si="0"/>
        <v>36216.479999999996</v>
      </c>
      <c r="D9" s="245">
        <v>36216.479999999996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17980.650000000001</v>
      </c>
      <c r="D10" s="244"/>
      <c r="E10" s="245">
        <v>17980.650000000001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102602.81</v>
      </c>
      <c r="D11" s="245">
        <v>102602.81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509881.06</v>
      </c>
      <c r="D12" s="20">
        <f>'DOE25'!L204+'DOE25'!L222+'DOE25'!L240-F12-G12</f>
        <v>504739</v>
      </c>
      <c r="E12" s="244"/>
      <c r="F12" s="256">
        <f>'DOE25'!J204+'DOE25'!J222+'DOE25'!J240</f>
        <v>1123.75</v>
      </c>
      <c r="G12" s="53">
        <f>'DOE25'!K204+'DOE25'!K222+'DOE25'!K240</f>
        <v>4018.3099999999995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695877.15</v>
      </c>
      <c r="D14" s="20">
        <f>'DOE25'!L206+'DOE25'!L224+'DOE25'!L242-F14-G14</f>
        <v>689679.53</v>
      </c>
      <c r="E14" s="244"/>
      <c r="F14" s="256">
        <f>'DOE25'!J206+'DOE25'!J224+'DOE25'!J242</f>
        <v>5402.04</v>
      </c>
      <c r="G14" s="53">
        <f>'DOE25'!K206+'DOE25'!K224+'DOE25'!K242</f>
        <v>795.57999999999993</v>
      </c>
      <c r="H14" s="260"/>
    </row>
    <row r="15" spans="1:9">
      <c r="A15" s="32">
        <v>2700</v>
      </c>
      <c r="B15" t="s">
        <v>804</v>
      </c>
      <c r="C15" s="246">
        <f t="shared" si="0"/>
        <v>447141.60000000003</v>
      </c>
      <c r="D15" s="20">
        <f>'DOE25'!L207+'DOE25'!L225+'DOE25'!L243-F15-G15</f>
        <v>441891.81000000006</v>
      </c>
      <c r="E15" s="244"/>
      <c r="F15" s="256">
        <f>'DOE25'!J207+'DOE25'!J225+'DOE25'!J243</f>
        <v>1660</v>
      </c>
      <c r="G15" s="53">
        <f>'DOE25'!K207+'DOE25'!K225+'DOE25'!K243</f>
        <v>3589.79</v>
      </c>
      <c r="H15" s="260"/>
    </row>
    <row r="16" spans="1:9">
      <c r="A16" s="32">
        <v>2800</v>
      </c>
      <c r="B16" t="s">
        <v>805</v>
      </c>
      <c r="C16" s="246">
        <f t="shared" si="0"/>
        <v>96604.83</v>
      </c>
      <c r="D16" s="244"/>
      <c r="E16" s="20">
        <f>'DOE25'!L208+'DOE25'!L226+'DOE25'!L244-F16-G16</f>
        <v>62899.170000000006</v>
      </c>
      <c r="F16" s="256">
        <f>'DOE25'!J208+'DOE25'!J226+'DOE25'!J244</f>
        <v>33705.659999999996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394830.5</v>
      </c>
      <c r="D25" s="244"/>
      <c r="E25" s="244"/>
      <c r="F25" s="259"/>
      <c r="G25" s="257"/>
      <c r="H25" s="258">
        <f>'DOE25'!L259+'DOE25'!L260+'DOE25'!L340+'DOE25'!L341</f>
        <v>394830.5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187416.85</v>
      </c>
      <c r="D29" s="20">
        <f>'DOE25'!L357+'DOE25'!L358+'DOE25'!L359-'DOE25'!I366-F29-G29</f>
        <v>184100.95</v>
      </c>
      <c r="E29" s="244"/>
      <c r="F29" s="256">
        <f>'DOE25'!J357+'DOE25'!J358+'DOE25'!J359</f>
        <v>3013.65</v>
      </c>
      <c r="G29" s="53">
        <f>'DOE25'!K357+'DOE25'!K358+'DOE25'!K359</f>
        <v>302.25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922994.46000000008</v>
      </c>
      <c r="D31" s="20">
        <f>'DOE25'!L289+'DOE25'!L308+'DOE25'!L327+'DOE25'!L332+'DOE25'!L333+'DOE25'!L334-F31-G31</f>
        <v>783675.08000000007</v>
      </c>
      <c r="E31" s="244"/>
      <c r="F31" s="256">
        <f>'DOE25'!J289+'DOE25'!J308+'DOE25'!J327+'DOE25'!J332+'DOE25'!J333+'DOE25'!J334</f>
        <v>94797.959999999992</v>
      </c>
      <c r="G31" s="53">
        <f>'DOE25'!K289+'DOE25'!K308+'DOE25'!K327+'DOE25'!K332+'DOE25'!K333+'DOE25'!K334</f>
        <v>44521.42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8877262.8000000007</v>
      </c>
      <c r="E33" s="247">
        <f>SUM(E5:E31)</f>
        <v>355595.56</v>
      </c>
      <c r="F33" s="247">
        <f>SUM(F5:F31)</f>
        <v>177538.33</v>
      </c>
      <c r="G33" s="247">
        <f>SUM(G5:G31)</f>
        <v>60345.869999999995</v>
      </c>
      <c r="H33" s="247">
        <f>SUM(H5:H31)</f>
        <v>394830.5</v>
      </c>
    </row>
    <row r="35" spans="2:8" ht="12" thickBot="1">
      <c r="B35" s="254" t="s">
        <v>847</v>
      </c>
      <c r="D35" s="255">
        <f>E33</f>
        <v>355595.56</v>
      </c>
      <c r="E35" s="250"/>
    </row>
    <row r="36" spans="2:8" ht="12" thickTop="1">
      <c r="B36" t="s">
        <v>815</v>
      </c>
      <c r="D36" s="20">
        <f>D33</f>
        <v>8877262.8000000007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Milton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5947.12</v>
      </c>
      <c r="D8" s="95">
        <f>'DOE25'!G9</f>
        <v>5060.63</v>
      </c>
      <c r="E8" s="95">
        <f>'DOE25'!H9</f>
        <v>0</v>
      </c>
      <c r="F8" s="95">
        <f>'DOE25'!I9</f>
        <v>231490.34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85478.26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309126.45</v>
      </c>
      <c r="D11" s="95">
        <f>'DOE25'!G12</f>
        <v>0</v>
      </c>
      <c r="E11" s="95">
        <f>'DOE25'!H12</f>
        <v>20890.32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29953.81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345027.38</v>
      </c>
      <c r="D18" s="41">
        <f>SUM(D8:D17)</f>
        <v>5060.63</v>
      </c>
      <c r="E18" s="41">
        <f>SUM(E8:E17)</f>
        <v>20890.32</v>
      </c>
      <c r="F18" s="41">
        <f>SUM(F8:F17)</f>
        <v>231490.34</v>
      </c>
      <c r="G18" s="41">
        <f>SUM(G8:G17)</f>
        <v>85478.26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3369.63</v>
      </c>
      <c r="E21" s="95">
        <f>'DOE25'!H22</f>
        <v>0</v>
      </c>
      <c r="F21" s="95">
        <f>'DOE25'!I22</f>
        <v>37280.94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111224.25</v>
      </c>
      <c r="D23" s="95">
        <f>'DOE25'!G24</f>
        <v>1691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20890.32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111224.25</v>
      </c>
      <c r="D31" s="41">
        <f>SUM(D21:D30)</f>
        <v>5060.63</v>
      </c>
      <c r="E31" s="41">
        <f>SUM(E21:E30)</f>
        <v>20890.32</v>
      </c>
      <c r="F31" s="41">
        <f>SUM(F21:F30)</f>
        <v>37280.94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194209.4</v>
      </c>
      <c r="G46" s="95">
        <f>'DOE25'!J47</f>
        <v>85478.26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158803.12999999998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233803.12999999998</v>
      </c>
      <c r="D49" s="41">
        <f>SUM(D34:D48)</f>
        <v>0</v>
      </c>
      <c r="E49" s="41">
        <f>SUM(E34:E48)</f>
        <v>0</v>
      </c>
      <c r="F49" s="41">
        <f>SUM(F34:F48)</f>
        <v>194209.4</v>
      </c>
      <c r="G49" s="41">
        <f>SUM(G34:G48)</f>
        <v>85478.26</v>
      </c>
      <c r="H49" s="124"/>
      <c r="I49" s="124"/>
    </row>
    <row r="50" spans="1:9" ht="12" thickTop="1">
      <c r="A50" s="38" t="s">
        <v>895</v>
      </c>
      <c r="B50" s="2"/>
      <c r="C50" s="41">
        <f>C49+C31</f>
        <v>345027.38</v>
      </c>
      <c r="D50" s="41">
        <f>D49+D31</f>
        <v>5060.63</v>
      </c>
      <c r="E50" s="41">
        <f>E49+E31</f>
        <v>20890.32</v>
      </c>
      <c r="F50" s="41">
        <f>F49+F31</f>
        <v>231490.34</v>
      </c>
      <c r="G50" s="41">
        <f>G49+G31</f>
        <v>85478.26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4504022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11326.58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2838.7199999999993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225.15</v>
      </c>
      <c r="D58" s="95">
        <f>'DOE25'!G95</f>
        <v>0</v>
      </c>
      <c r="E58" s="95">
        <f>'DOE25'!H95</f>
        <v>0</v>
      </c>
      <c r="F58" s="95">
        <f>'DOE25'!I95</f>
        <v>323.75</v>
      </c>
      <c r="G58" s="95">
        <f>'DOE25'!J95</f>
        <v>1131.5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71904.100000000006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6936.5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21326.949999999997</v>
      </c>
      <c r="D61" s="130">
        <f>SUM(D56:D60)</f>
        <v>71904.100000000006</v>
      </c>
      <c r="E61" s="130">
        <f>SUM(E56:E60)</f>
        <v>0</v>
      </c>
      <c r="F61" s="130">
        <f>SUM(F56:F60)</f>
        <v>323.75</v>
      </c>
      <c r="G61" s="130">
        <f>SUM(G56:G60)</f>
        <v>1131.5</v>
      </c>
      <c r="H61"/>
      <c r="I61"/>
    </row>
    <row r="62" spans="1:9" ht="12" thickTop="1">
      <c r="A62" s="29" t="s">
        <v>175</v>
      </c>
      <c r="B62" s="6"/>
      <c r="C62" s="22">
        <f>C55+C61</f>
        <v>4525348.95</v>
      </c>
      <c r="D62" s="22">
        <f>D55+D61</f>
        <v>71904.100000000006</v>
      </c>
      <c r="E62" s="22">
        <f>E55+E61</f>
        <v>0</v>
      </c>
      <c r="F62" s="22">
        <f>F55+F61</f>
        <v>323.75</v>
      </c>
      <c r="G62" s="22">
        <f>G55+G61</f>
        <v>1131.5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3005201.19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972635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2603.81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27435.82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3980440</v>
      </c>
      <c r="D69" s="139">
        <f>D68</f>
        <v>0</v>
      </c>
      <c r="E69" s="139">
        <f>E68</f>
        <v>27435.82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180046.78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2342.62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1415.47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1800</v>
      </c>
      <c r="D76" s="95">
        <f>SUM('DOE25'!G130:G134)</f>
        <v>2714.74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185604.87</v>
      </c>
      <c r="D77" s="130">
        <f>SUM(D71:D76)</f>
        <v>2714.74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4166044.87</v>
      </c>
      <c r="D80" s="130">
        <f>SUM(D78:D79)+D77+D69</f>
        <v>2714.74</v>
      </c>
      <c r="E80" s="130">
        <f>SUM(E78:E79)+E77+E69</f>
        <v>27435.82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515053.03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77587.490000000005</v>
      </c>
      <c r="D87" s="95">
        <f>SUM('DOE25'!G152:G160)</f>
        <v>140108.34</v>
      </c>
      <c r="E87" s="95">
        <f>SUM('DOE25'!H152:H160)</f>
        <v>380505.61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77587.490000000005</v>
      </c>
      <c r="D90" s="131">
        <f>SUM(D84:D89)</f>
        <v>140108.34</v>
      </c>
      <c r="E90" s="131">
        <f>SUM(E84:E89)</f>
        <v>895558.64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73704.92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73704.92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>
      <c r="A103" s="33" t="s">
        <v>765</v>
      </c>
      <c r="C103" s="86">
        <f>C62+C80+C90+C102</f>
        <v>8768981.3100000005</v>
      </c>
      <c r="D103" s="86">
        <f>D62+D80+D90+D102</f>
        <v>288432.09999999998</v>
      </c>
      <c r="E103" s="86">
        <f>E62+E80+E90+E102</f>
        <v>922994.46</v>
      </c>
      <c r="F103" s="86">
        <f>F62+F80+F90+F102</f>
        <v>323.75</v>
      </c>
      <c r="G103" s="86">
        <f>G62+G80+G102</f>
        <v>76131.5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3180276.63</v>
      </c>
      <c r="D108" s="24" t="s">
        <v>289</v>
      </c>
      <c r="E108" s="95">
        <f>('DOE25'!L275)+('DOE25'!L294)+('DOE25'!L313)</f>
        <v>587660.5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2083905.11</v>
      </c>
      <c r="D109" s="24" t="s">
        <v>289</v>
      </c>
      <c r="E109" s="95">
        <f>('DOE25'!L276)+('DOE25'!L295)+('DOE25'!L314)</f>
        <v>1877.2000000000003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94480.489999999991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177160.6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5535822.8300000001</v>
      </c>
      <c r="D114" s="86">
        <f>SUM(D108:D113)</f>
        <v>0</v>
      </c>
      <c r="E114" s="86">
        <f>SUM(E108:E113)</f>
        <v>589537.69999999995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422865.17000000004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216941.11000000002</v>
      </c>
      <c r="D118" s="24" t="s">
        <v>289</v>
      </c>
      <c r="E118" s="95">
        <f>+('DOE25'!L281)+('DOE25'!L300)+('DOE25'!L319)</f>
        <v>288935.33999999997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417216.85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509881.06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44521.42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695877.15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447141.60000000003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96604.83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291363.74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2806527.77</v>
      </c>
      <c r="D127" s="86">
        <f>SUM(D117:D126)</f>
        <v>291363.74</v>
      </c>
      <c r="E127" s="86">
        <f>SUM(E117:E126)</f>
        <v>333456.75999999995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5355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119830.5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73704.92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70.540000000000006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76060.959999999992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-1131.4999999999854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543535.41999999993</v>
      </c>
      <c r="D143" s="141">
        <f>SUM(D129:D142)</f>
        <v>0</v>
      </c>
      <c r="E143" s="141">
        <f>SUM(E129:E142)</f>
        <v>0</v>
      </c>
      <c r="F143" s="141">
        <f>SUM(F129:F142)</f>
        <v>5355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8885886.0199999996</v>
      </c>
      <c r="D144" s="86">
        <f>(D114+D127+D143)</f>
        <v>291363.74</v>
      </c>
      <c r="E144" s="86">
        <f>(E114+E127+E143)</f>
        <v>922994.46</v>
      </c>
      <c r="F144" s="86">
        <f>(F114+F127+F143)</f>
        <v>5355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1</v>
      </c>
      <c r="E150" s="153">
        <f>'DOE25'!I489</f>
        <v>2</v>
      </c>
      <c r="F150" s="153">
        <f>'DOE25'!J489</f>
        <v>3</v>
      </c>
      <c r="G150" s="24" t="s">
        <v>289</v>
      </c>
    </row>
    <row r="151" spans="1:9">
      <c r="A151" s="136" t="s">
        <v>28</v>
      </c>
      <c r="B151" s="152" t="str">
        <f>'DOE25'!F490</f>
        <v>08/05</v>
      </c>
      <c r="C151" s="152" t="str">
        <f>'DOE25'!G490</f>
        <v>0</v>
      </c>
      <c r="D151" s="152" t="str">
        <f>'DOE25'!H490</f>
        <v>0</v>
      </c>
      <c r="E151" s="152" t="str">
        <f>'DOE25'!I490</f>
        <v>0</v>
      </c>
      <c r="F151" s="152" t="str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08/20</v>
      </c>
      <c r="C152" s="152" t="str">
        <f>'DOE25'!G491</f>
        <v>0</v>
      </c>
      <c r="D152" s="152" t="str">
        <f>'DOE25'!H491</f>
        <v>0</v>
      </c>
      <c r="E152" s="152" t="str">
        <f>'DOE25'!I491</f>
        <v>0</v>
      </c>
      <c r="F152" s="152" t="str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4097790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2725000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2725000</v>
      </c>
    </row>
    <row r="156" spans="1:9">
      <c r="A156" s="22" t="s">
        <v>33</v>
      </c>
      <c r="B156" s="137">
        <f>'DOE25'!F495</f>
        <v>2450000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2450000</v>
      </c>
    </row>
    <row r="157" spans="1:9">
      <c r="A157" s="22" t="s">
        <v>34</v>
      </c>
      <c r="B157" s="137">
        <f>'DOE25'!F496</f>
        <v>275000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275000</v>
      </c>
    </row>
    <row r="158" spans="1:9">
      <c r="A158" s="22" t="s">
        <v>35</v>
      </c>
      <c r="B158" s="137">
        <f>'DOE25'!F497</f>
        <v>2450000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2450000</v>
      </c>
    </row>
    <row r="159" spans="1:9">
      <c r="A159" s="22" t="s">
        <v>36</v>
      </c>
      <c r="B159" s="137">
        <f>'DOE25'!F498</f>
        <v>496876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496876</v>
      </c>
    </row>
    <row r="160" spans="1:9">
      <c r="A160" s="22" t="s">
        <v>37</v>
      </c>
      <c r="B160" s="137">
        <f>'DOE25'!F499</f>
        <v>2946876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2946876</v>
      </c>
    </row>
    <row r="161" spans="1:7">
      <c r="A161" s="22" t="s">
        <v>38</v>
      </c>
      <c r="B161" s="137">
        <f>'DOE25'!F500</f>
        <v>275000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275000</v>
      </c>
    </row>
    <row r="162" spans="1:7">
      <c r="A162" s="22" t="s">
        <v>39</v>
      </c>
      <c r="B162" s="137">
        <f>'DOE25'!F501</f>
        <v>108672.5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108672.5</v>
      </c>
    </row>
    <row r="163" spans="1:7">
      <c r="A163" s="22" t="s">
        <v>246</v>
      </c>
      <c r="B163" s="137">
        <f>'DOE25'!F502</f>
        <v>383672.5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383672.5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53" sqref="F53:F5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Milton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12811</v>
      </c>
    </row>
    <row r="5" spans="1:4">
      <c r="B5" t="s">
        <v>704</v>
      </c>
      <c r="C5" s="179">
        <f>IF('DOE25'!G664+'DOE25'!G669=0,0,ROUND('DOE25'!G671,0))</f>
        <v>16156</v>
      </c>
    </row>
    <row r="6" spans="1:4">
      <c r="B6" t="s">
        <v>62</v>
      </c>
      <c r="C6" s="179">
        <f>IF('DOE25'!H664+'DOE25'!H669=0,0,ROUND('DOE25'!H671,0))</f>
        <v>13972</v>
      </c>
    </row>
    <row r="7" spans="1:4">
      <c r="B7" t="s">
        <v>705</v>
      </c>
      <c r="C7" s="179">
        <f>IF('DOE25'!I664+'DOE25'!I669=0,0,ROUND('DOE25'!I671,0))</f>
        <v>13936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3767937</v>
      </c>
      <c r="D10" s="182">
        <f>ROUND((C10/$C$28)*100,1)</f>
        <v>39.200000000000003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2085782</v>
      </c>
      <c r="D11" s="182">
        <f>ROUND((C11/$C$28)*100,1)</f>
        <v>21.7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94480</v>
      </c>
      <c r="D12" s="182">
        <f>ROUND((C12/$C$28)*100,1)</f>
        <v>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177161</v>
      </c>
      <c r="D13" s="182">
        <f>ROUND((C13/$C$28)*100,1)</f>
        <v>1.8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422865</v>
      </c>
      <c r="D15" s="182">
        <f t="shared" ref="D15:D27" si="0">ROUND((C15/$C$28)*100,1)</f>
        <v>4.4000000000000004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505876</v>
      </c>
      <c r="D16" s="182">
        <f t="shared" si="0"/>
        <v>5.3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513822</v>
      </c>
      <c r="D17" s="182">
        <f t="shared" si="0"/>
        <v>5.3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509881</v>
      </c>
      <c r="D18" s="182">
        <f t="shared" si="0"/>
        <v>5.3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44521</v>
      </c>
      <c r="D19" s="182">
        <f t="shared" si="0"/>
        <v>0.5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695877</v>
      </c>
      <c r="D20" s="182">
        <f t="shared" si="0"/>
        <v>7.2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447142</v>
      </c>
      <c r="D21" s="182">
        <f t="shared" si="0"/>
        <v>4.7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119831</v>
      </c>
      <c r="D25" s="182">
        <f t="shared" si="0"/>
        <v>1.2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219459.9</v>
      </c>
      <c r="D27" s="182">
        <f t="shared" si="0"/>
        <v>2.2999999999999998</v>
      </c>
    </row>
    <row r="28" spans="1:4">
      <c r="B28" s="187" t="s">
        <v>723</v>
      </c>
      <c r="C28" s="180">
        <f>SUM(C10:C27)</f>
        <v>9604634.9000000004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5355</v>
      </c>
    </row>
    <row r="30" spans="1:4">
      <c r="B30" s="187" t="s">
        <v>729</v>
      </c>
      <c r="C30" s="180">
        <f>SUM(C28:C29)</f>
        <v>9609989.9000000004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275000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4504022</v>
      </c>
      <c r="D35" s="182">
        <f t="shared" ref="D35:D40" si="1">ROUND((C35/$C$41)*100,1)</f>
        <v>45.8</v>
      </c>
    </row>
    <row r="36" spans="1:4">
      <c r="B36" s="185" t="s">
        <v>743</v>
      </c>
      <c r="C36" s="179">
        <f>SUM('DOE25'!F111:J111)-SUM('DOE25'!G96:G109)+('DOE25'!F173+'DOE25'!F174+'DOE25'!I173+'DOE25'!I174)-C35</f>
        <v>22782.200000000186</v>
      </c>
      <c r="D36" s="182">
        <f t="shared" si="1"/>
        <v>0.2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3980440</v>
      </c>
      <c r="D37" s="182">
        <f t="shared" si="1"/>
        <v>40.5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215755</v>
      </c>
      <c r="D38" s="182">
        <f t="shared" si="1"/>
        <v>2.2000000000000002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1113254</v>
      </c>
      <c r="D39" s="182">
        <f t="shared" si="1"/>
        <v>11.3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9836253.1999999993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B32" sqref="B32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Milton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>
        <v>19</v>
      </c>
      <c r="B4" s="220">
        <v>3</v>
      </c>
      <c r="C4" s="280" t="s">
        <v>913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19</v>
      </c>
      <c r="B5" s="220">
        <v>6</v>
      </c>
      <c r="C5" s="280" t="s">
        <v>909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2012-10-11T17:05:52Z</cp:lastPrinted>
  <dcterms:created xsi:type="dcterms:W3CDTF">1997-12-04T19:04:30Z</dcterms:created>
  <dcterms:modified xsi:type="dcterms:W3CDTF">2012-11-21T15:02:47Z</dcterms:modified>
</cp:coreProperties>
</file>