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08" i="1" l="1"/>
  <c r="F109" i="1"/>
  <c r="F119" i="1"/>
  <c r="G612" i="1" l="1"/>
  <c r="F612" i="1"/>
  <c r="G611" i="1"/>
  <c r="F611" i="1"/>
  <c r="G610" i="1"/>
  <c r="F610" i="1"/>
  <c r="J520" i="1"/>
  <c r="I520" i="1"/>
  <c r="H520" i="1"/>
  <c r="J522" i="1"/>
  <c r="I522" i="1"/>
  <c r="H522" i="1"/>
  <c r="G522" i="1"/>
  <c r="F522" i="1"/>
  <c r="J521" i="1"/>
  <c r="I521" i="1"/>
  <c r="H521" i="1"/>
  <c r="G527" i="1"/>
  <c r="H215" i="1"/>
  <c r="J196" i="1"/>
  <c r="I196" i="1"/>
  <c r="H196" i="1"/>
  <c r="G196" i="1"/>
  <c r="F196" i="1"/>
  <c r="K214" i="1"/>
  <c r="J214" i="1"/>
  <c r="I214" i="1"/>
  <c r="H214" i="1"/>
  <c r="G214" i="1"/>
  <c r="F214" i="1"/>
  <c r="K232" i="1"/>
  <c r="J232" i="1"/>
  <c r="I232" i="1"/>
  <c r="H232" i="1"/>
  <c r="G232" i="1"/>
  <c r="F232" i="1"/>
  <c r="K233" i="1"/>
  <c r="J233" i="1"/>
  <c r="I233" i="1"/>
  <c r="H233" i="1"/>
  <c r="G233" i="1"/>
  <c r="F233" i="1"/>
  <c r="K215" i="1"/>
  <c r="J215" i="1"/>
  <c r="I215" i="1"/>
  <c r="G215" i="1"/>
  <c r="F215" i="1"/>
  <c r="J197" i="1"/>
  <c r="I197" i="1"/>
  <c r="H197" i="1"/>
  <c r="G197" i="1"/>
  <c r="F197" i="1"/>
  <c r="I202" i="1"/>
  <c r="H202" i="1"/>
  <c r="G202" i="1"/>
  <c r="F202" i="1"/>
  <c r="J220" i="1"/>
  <c r="I220" i="1"/>
  <c r="H220" i="1"/>
  <c r="I238" i="1"/>
  <c r="H238" i="1"/>
  <c r="G238" i="1"/>
  <c r="F238" i="1"/>
  <c r="H201" i="1"/>
  <c r="G201" i="1"/>
  <c r="H281" i="1"/>
  <c r="H300" i="1"/>
  <c r="H319" i="1"/>
  <c r="I275" i="1"/>
  <c r="H275" i="1"/>
  <c r="G275" i="1"/>
  <c r="F275" i="1"/>
  <c r="I276" i="1"/>
  <c r="G276" i="1"/>
  <c r="F276" i="1"/>
  <c r="J281" i="1"/>
  <c r="I281" i="1"/>
  <c r="I313" i="1"/>
  <c r="G313" i="1"/>
  <c r="F313" i="1"/>
  <c r="H13" i="1"/>
  <c r="H43" i="1"/>
  <c r="H24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C18" i="10" s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E119" i="2" s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0" i="10"/>
  <c r="C11" i="10"/>
  <c r="C12" i="10"/>
  <c r="C13" i="10"/>
  <c r="C15" i="10"/>
  <c r="C16" i="10"/>
  <c r="C17" i="10"/>
  <c r="C19" i="10"/>
  <c r="C20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E114" i="2" s="1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638" i="1" s="1"/>
  <c r="G445" i="1"/>
  <c r="H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H641" i="1" s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H638" i="1"/>
  <c r="G639" i="1"/>
  <c r="H639" i="1"/>
  <c r="G640" i="1"/>
  <c r="H640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J651" i="1"/>
  <c r="G652" i="1"/>
  <c r="H652" i="1"/>
  <c r="J652" i="1" s="1"/>
  <c r="G653" i="1"/>
  <c r="H653" i="1"/>
  <c r="H654" i="1"/>
  <c r="J351" i="1"/>
  <c r="F191" i="1"/>
  <c r="L255" i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F544" i="1" l="1"/>
  <c r="J649" i="1"/>
  <c r="G570" i="1"/>
  <c r="L228" i="1"/>
  <c r="J648" i="1"/>
  <c r="L210" i="1"/>
  <c r="F659" i="1" s="1"/>
  <c r="F663" i="1" s="1"/>
  <c r="I662" i="1"/>
  <c r="J616" i="1"/>
  <c r="F31" i="13"/>
  <c r="I337" i="1"/>
  <c r="I351" i="1" s="1"/>
  <c r="A22" i="12"/>
  <c r="E90" i="2"/>
  <c r="I445" i="1"/>
  <c r="G641" i="1" s="1"/>
  <c r="F50" i="2"/>
  <c r="D50" i="2"/>
  <c r="I191" i="1"/>
  <c r="J653" i="1"/>
  <c r="G33" i="13"/>
  <c r="L361" i="1"/>
  <c r="J641" i="1"/>
  <c r="F139" i="1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L433" i="1" s="1"/>
  <c r="G637" i="1" s="1"/>
  <c r="J637" i="1" s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L308" i="1"/>
  <c r="D5" i="13"/>
  <c r="E16" i="13"/>
  <c r="J624" i="1"/>
  <c r="C49" i="2"/>
  <c r="C50" i="2" s="1"/>
  <c r="J654" i="1"/>
  <c r="J644" i="1"/>
  <c r="J192" i="1"/>
  <c r="H666" i="1"/>
  <c r="H671" i="1"/>
  <c r="C6" i="10" s="1"/>
  <c r="L569" i="1"/>
  <c r="I570" i="1"/>
  <c r="I544" i="1"/>
  <c r="J635" i="1"/>
  <c r="G36" i="2"/>
  <c r="G49" i="2" s="1"/>
  <c r="J50" i="1"/>
  <c r="L564" i="1"/>
  <c r="L570" i="1" s="1"/>
  <c r="G544" i="1"/>
  <c r="L544" i="1"/>
  <c r="H544" i="1"/>
  <c r="K550" i="1"/>
  <c r="F143" i="2"/>
  <c r="F144" i="2" s="1"/>
  <c r="C39" i="10" l="1"/>
  <c r="C36" i="10"/>
  <c r="K551" i="1"/>
  <c r="L256" i="1"/>
  <c r="L270" i="1" s="1"/>
  <c r="G631" i="1" s="1"/>
  <c r="J631" i="1" s="1"/>
  <c r="H647" i="1"/>
  <c r="J647" i="1" s="1"/>
  <c r="F192" i="1"/>
  <c r="G626" i="1" s="1"/>
  <c r="J626" i="1" s="1"/>
  <c r="H192" i="1"/>
  <c r="G628" i="1" s="1"/>
  <c r="J628" i="1" s="1"/>
  <c r="G50" i="2"/>
  <c r="C27" i="10"/>
  <c r="G634" i="1"/>
  <c r="J634" i="1" s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 l="1"/>
  <c r="D39" i="10" s="1"/>
  <c r="C28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D25" i="10" l="1"/>
  <c r="D11" i="10"/>
  <c r="D22" i="10"/>
  <c r="D24" i="10"/>
  <c r="D23" i="10"/>
  <c r="D19" i="10"/>
  <c r="D16" i="10"/>
  <c r="D12" i="10"/>
  <c r="D21" i="10"/>
  <c r="D15" i="10"/>
  <c r="D17" i="10"/>
  <c r="C30" i="10"/>
  <c r="D26" i="10"/>
  <c r="D18" i="10"/>
  <c r="D13" i="10"/>
  <c r="D20" i="10"/>
  <c r="D10" i="10"/>
  <c r="D27" i="10"/>
  <c r="H655" i="1"/>
  <c r="D41" i="10"/>
  <c r="I666" i="1"/>
  <c r="I671" i="1"/>
  <c r="C7" i="10" s="1"/>
  <c r="G671" i="1"/>
  <c r="C5" i="10" s="1"/>
  <c r="G666" i="1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<sst xmlns="http://schemas.openxmlformats.org/spreadsheetml/2006/main" count="3945" uniqueCount="912">
  <si>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</si>
  <si>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</si>
  <si>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</si>
  <si>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</si>
  <si>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</si>
  <si>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</si>
  <si>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</si>
  <si>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</si>
  <si>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</si>
  <si>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</si>
  <si>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</si>
  <si>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</si>
  <si>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</si>
  <si>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</si>
  <si>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</si>
  <si>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</si>
  <si>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</si>
  <si>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</si>
  <si>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</si>
  <si>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</si>
  <si>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</si>
  <si>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</si>
  <si>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</si>
  <si>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</si>
  <si>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</si>
  <si>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</si>
  <si>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</si>
  <si>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</si>
  <si>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</si>
  <si>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</si>
  <si>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</si>
  <si>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</si>
  <si>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</si>
  <si>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</si>
  <si>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</si>
  <si>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</si>
  <si>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</si>
  <si>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</si>
  <si>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</si>
  <si>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</si>
  <si>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</si>
  <si>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</si>
  <si>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</si>
  <si>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</si>
  <si>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</si>
  <si>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</si>
  <si>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</si>
  <si>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</si>
  <si>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</si>
  <si>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</si>
  <si>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</si>
  <si>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</si>
  <si>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</si>
  <si>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</si>
  <si>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</si>
  <si>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</si>
  <si>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</si>
  <si>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</si>
  <si>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</si>
  <si>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</si>
  <si>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</si>
  <si>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</si>
  <si>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</si>
  <si>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</si>
  <si>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</si>
  <si>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</si>
  <si>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</si>
  <si>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</si>
  <si>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</si>
  <si>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</si>
  <si>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</si>
  <si>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</si>
  <si>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</si>
  <si>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</si>
  <si>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</si>
  <si>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</si>
  <si>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</si>
  <si>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</si>
  <si>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</si>
  <si>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</si>
  <si>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</si>
  <si>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</si>
  <si>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</si>
  <si>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</si>
  <si>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</si>
  <si>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</si>
  <si>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</si>
  <si>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</si>
  <si>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</si>
  <si>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</si>
  <si>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</si>
  <si>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</si>
  <si>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</si>
  <si>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</si>
  <si>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</si>
  <si>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</si>
  <si>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</si>
  <si>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</si>
  <si>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</si>
  <si>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</si>
  <si>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</si>
  <si>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</si>
  <si>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</si>
  <si>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</si>
  <si>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</si>
  <si>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</si>
  <si>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</si>
  <si>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</si>
  <si>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</si>
  <si>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</si>
  <si>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</si>
  <si>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</si>
  <si>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</si>
  <si>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</si>
  <si>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</si>
  <si>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</si>
  <si>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</si>
  <si>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</si>
  <si>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</si>
  <si>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</si>
  <si>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</si>
  <si>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</si>
  <si>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</si>
  <si>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</si>
  <si>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</si>
  <si>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</si>
  <si>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</si>
  <si>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</si>
  <si>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</si>
  <si>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</si>
  <si>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</si>
  <si>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</si>
  <si>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</si>
  <si>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</si>
  <si>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</si>
  <si>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</si>
  <si>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</si>
  <si>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</si>
  <si>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</si>
  <si>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</si>
  <si>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</si>
  <si>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</si>
  <si>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</si>
  <si>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</si>
  <si>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</si>
  <si>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</si>
  <si>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</si>
  <si>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</si>
  <si>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</si>
  <si>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</si>
  <si>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</si>
  <si>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</si>
  <si>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</si>
  <si>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</si>
  <si>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</si>
  <si>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</si>
  <si>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</si>
  <si>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</si>
  <si>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</si>
  <si>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</si>
  <si>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</si>
  <si>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</si>
  <si>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</si>
  <si>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</si>
  <si>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</si>
  <si>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</si>
  <si>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</si>
  <si>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</si>
  <si>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</si>
  <si>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</si>
  <si>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</si>
  <si>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</si>
  <si>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</si>
  <si>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</si>
  <si>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</si>
  <si>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</si>
  <si>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</si>
  <si>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</si>
  <si>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</si>
  <si>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</si>
  <si>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</si>
  <si>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</si>
  <si>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</si>
  <si>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</si>
  <si>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</si>
  <si>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</si>
  <si>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</si>
  <si>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</si>
  <si>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</si>
  <si>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</si>
  <si>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</si>
  <si>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</si>
  <si>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</si>
  <si>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</si>
  <si>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</si>
  <si>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</si>
  <si>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</si>
  <si>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</si>
  <si>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</si>
  <si>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</si>
  <si>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</si>
  <si>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</si>
  <si>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</si>
  <si>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</si>
  <si>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</si>
  <si>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</si>
  <si>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</si>
  <si>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</si>
  <si>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</si>
  <si>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</si>
  <si>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</si>
  <si>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</si>
  <si>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</si>
  <si>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</si>
  <si>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</si>
  <si>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</si>
  <si>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</si>
  <si>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</si>
  <si>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</si>
  <si>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</si>
  <si>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</si>
  <si>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</si>
  <si>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</si>
  <si>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</si>
  <si>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</si>
  <si>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</si>
  <si>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</si>
  <si>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</si>
  <si>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</si>
  <si>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</si>
  <si>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</si>
  <si>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</si>
  <si>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</si>
  <si>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</si>
  <si>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</si>
  <si>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</si>
  <si>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</si>
  <si>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</si>
  <si>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</si>
  <si>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</si>
  <si>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</si>
  <si>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</si>
  <si>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</si>
  <si>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</si>
  <si>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</si>
  <si>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</si>
  <si>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</si>
  <si>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</si>
  <si>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</si>
  <si>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</si>
  <si>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</si>
  <si>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</si>
  <si>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</si>
  <si>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</si>
  <si>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</si>
  <si>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</si>
  <si>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</si>
  <si>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</si>
  <si>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</si>
  <si>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</si>
  <si>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</si>
  <si>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</si>
  <si>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</si>
  <si>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</si>
  <si>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</si>
  <si>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</si>
  <si>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</si>
  <si>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</si>
  <si>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</si>
  <si>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</si>
  <si>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</si>
  <si>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</si>
  <si>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</si>
  <si>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</si>
  <si>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</si>
  <si>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</si>
  <si>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</si>
  <si>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</si>
  <si>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</si>
  <si>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</si>
  <si>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</si>
  <si>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</si>
  <si>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</si>
  <si>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</si>
  <si>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</si>
  <si>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</si>
  <si>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</si>
  <si>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</si>
  <si>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</si>
  <si>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</si>
  <si>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</si>
  <si>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</si>
  <si>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</si>
  <si>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</si>
  <si>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</si>
  <si>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</si>
  <si>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</si>
  <si>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</si>
  <si>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</si>
  <si>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</si>
  <si>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</si>
  <si>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</si>
  <si>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</si>
  <si>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</si>
  <si>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</si>
  <si>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</si>
  <si>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</si>
  <si>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</si>
  <si>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</si>
  <si>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</si>
  <si>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</si>
  <si>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</si>
  <si>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</si>
  <si>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</si>
  <si>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</si>
  <si>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</si>
  <si>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</si>
  <si>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</si>
  <si>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</si>
  <si>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</si>
  <si>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</si>
  <si>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</si>
  <si>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</si>
  <si>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</si>
  <si>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</si>
  <si>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</si>
  <si>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</si>
  <si>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</si>
  <si>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</si>
  <si>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</si>
  <si>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</si>
  <si>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</si>
  <si>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</si>
  <si>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</si>
  <si>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</si>
  <si>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</si>
  <si>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</si>
  <si>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</si>
  <si>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</si>
  <si>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</si>
  <si>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</si>
  <si>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</si>
  <si>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</si>
  <si>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</si>
  <si>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</si>
  <si>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</si>
  <si>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</si>
  <si>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</si>
  <si>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</si>
  <si>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</si>
  <si>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</si>
  <si>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</si>
  <si>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</si>
  <si>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</si>
  <si>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</si>
  <si>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</si>
  <si>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</si>
  <si>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</si>
  <si>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</si>
  <si>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</si>
  <si>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</si>
  <si>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</si>
  <si>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</si>
  <si>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</si>
  <si>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</si>
  <si>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</si>
  <si>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</si>
  <si>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</si>
  <si>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</si>
  <si>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</si>
  <si>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</si>
  <si>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</si>
  <si>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</si>
  <si>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</si>
  <si>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</si>
  <si>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</si>
  <si>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</si>
  <si>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</si>
  <si>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</si>
  <si>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</si>
  <si>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</si>
  <si>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</si>
  <si>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</si>
  <si>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</si>
  <si>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</si>
  <si>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</si>
  <si>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</si>
  <si>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</si>
  <si>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</si>
  <si>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</si>
  <si>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</si>
  <si>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</si>
  <si>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</si>
  <si>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</si>
  <si>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</si>
  <si>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</si>
  <si>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</si>
  <si>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</si>
  <si>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</si>
  <si>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</si>
  <si>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</si>
  <si>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</si>
  <si>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</si>
  <si>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</si>
  <si>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</si>
  <si>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</si>
  <si>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</si>
  <si>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</si>
  <si>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</si>
  <si>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</si>
  <si>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</si>
  <si>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</si>
  <si>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</si>
  <si>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</si>
  <si>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</si>
  <si>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</si>
  <si>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</si>
  <si>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</si>
  <si>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</si>
  <si>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</si>
  <si>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</si>
  <si>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</si>
  <si>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</si>
  <si>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</si>
  <si>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</si>
  <si>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</si>
  <si>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</si>
  <si>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</si>
  <si>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</si>
  <si>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</si>
  <si>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</si>
  <si>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</si>
  <si>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</si>
  <si>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</si>
  <si>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</si>
  <si>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</si>
  <si>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</si>
  <si>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</si>
  <si>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</si>
  <si>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</si>
  <si>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</si>
  <si>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</si>
  <si>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</si>
  <si>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</si>
  <si>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</si>
  <si>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</si>
  <si>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</si>
  <si>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</si>
  <si>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</si>
  <si>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</si>
  <si>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</si>
  <si>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</si>
  <si>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</si>
  <si>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</si>
  <si>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</si>
  <si>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</si>
  <si>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</si>
  <si>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</si>
  <si>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</si>
  <si>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</si>
  <si>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</si>
  <si>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</si>
  <si>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</si>
  <si>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</si>
  <si>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</si>
  <si>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</si>
  <si>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</si>
  <si>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</si>
  <si>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</si>
  <si>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</si>
  <si>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</si>
  <si>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</si>
  <si>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</si>
  <si>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</si>
  <si>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</si>
  <si>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</si>
  <si>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</si>
  <si>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</si>
  <si>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</si>
  <si>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</si>
  <si>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</si>
  <si>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</si>
  <si>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</si>
  <si>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</si>
  <si>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</si>
  <si>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</si>
  <si>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</si>
  <si>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</si>
  <si>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</si>
  <si>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</si>
  <si>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</si>
  <si>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</si>
  <si>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</si>
  <si>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</si>
  <si>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</si>
  <si>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</si>
  <si>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</si>
  <si>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</si>
  <si>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</si>
  <si>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</si>
  <si>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</si>
  <si>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</si>
  <si>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</si>
  <si>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</si>
  <si>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</si>
  <si>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</si>
  <si>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</si>
  <si>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</si>
  <si>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</si>
  <si>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</si>
  <si>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</si>
  <si>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</si>
  <si>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</si>
  <si>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</si>
  <si>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</si>
  <si>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</si>
  <si>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</si>
  <si>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</si>
  <si>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</si>
  <si>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</si>
  <si>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</si>
  <si>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</si>
  <si>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</si>
  <si>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</si>
  <si>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</si>
  <si>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</si>
  <si>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</si>
  <si>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</si>
  <si>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</si>
  <si>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</si>
  <si>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</si>
  <si>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</si>
  <si>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</si>
  <si>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</si>
  <si>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</si>
  <si>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</si>
  <si>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</si>
  <si>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</si>
  <si>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</si>
  <si>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</si>
  <si>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</si>
  <si>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</si>
  <si>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</si>
  <si>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</si>
  <si>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</si>
  <si>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</si>
  <si>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</si>
  <si>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</si>
  <si>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</si>
  <si>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</si>
  <si>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</si>
  <si>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</si>
  <si>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</si>
  <si>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</si>
  <si>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</si>
  <si>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</si>
  <si>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</si>
  <si>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</si>
  <si>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</si>
  <si>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</si>
  <si>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</si>
  <si>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</si>
  <si>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</si>
  <si>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</si>
  <si>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</si>
  <si>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</si>
  <si>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</si>
  <si>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</si>
  <si>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</si>
  <si>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</si>
  <si>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</si>
  <si>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</si>
  <si>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</si>
  <si>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</si>
  <si>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</si>
  <si>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</si>
  <si>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</si>
  <si>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</si>
  <si>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</si>
  <si>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</si>
  <si>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</si>
  <si>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</si>
  <si>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</si>
  <si>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</si>
  <si>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</si>
  <si>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</si>
  <si>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</si>
  <si>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</si>
  <si>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</si>
  <si>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</si>
  <si>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</si>
  <si>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</si>
  <si>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</si>
  <si>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</si>
  <si>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</si>
  <si>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</si>
  <si>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</si>
  <si>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</si>
  <si>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</si>
  <si>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</si>
  <si>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</si>
  <si>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</si>
  <si>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</si>
  <si>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</si>
  <si>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</si>
  <si>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</si>
  <si>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</si>
  <si>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</si>
  <si>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</si>
  <si>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</si>
  <si>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</si>
  <si>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</si>
  <si>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</si>
  <si>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</si>
  <si>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</si>
  <si>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</si>
  <si>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</si>
  <si>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</si>
  <si>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</si>
  <si>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</si>
  <si>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</si>
  <si>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</si>
  <si>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</si>
  <si>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</si>
  <si>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</si>
  <si>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</si>
  <si>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</si>
  <si>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</si>
  <si>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</si>
  <si>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</si>
  <si>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</si>
  <si>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</si>
  <si>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</si>
  <si>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</si>
  <si>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</si>
  <si>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</si>
  <si>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</si>
  <si>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</si>
  <si>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</si>
  <si>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</si>
  <si>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</si>
  <si>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</si>
  <si>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</si>
  <si>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</si>
  <si>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</si>
  <si>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</si>
  <si>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</si>
  <si>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</si>
  <si>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</si>
  <si>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</si>
  <si>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</si>
  <si>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</si>
  <si>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</si>
  <si>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</si>
  <si>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</si>
  <si>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</si>
  <si>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</si>
  <si>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</si>
  <si>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</si>
  <si>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</si>
  <si>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</si>
  <si>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</si>
  <si>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</si>
  <si>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</si>
  <si>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</si>
  <si>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</si>
  <si>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</si>
  <si>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</si>
  <si>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</si>
  <si>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</si>
  <si>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</si>
  <si>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</si>
  <si>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</si>
  <si>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</si>
  <si>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</si>
  <si>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</si>
  <si>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</si>
  <si>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</si>
  <si>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</si>
  <si>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</si>
  <si>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</si>
  <si>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</si>
  <si>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</si>
  <si>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</si>
  <si>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</si>
  <si>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</si>
  <si>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</si>
  <si>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</si>
  <si>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</si>
  <si>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</si>
  <si>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</si>
  <si>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</si>
  <si>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</si>
  <si>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</si>
  <si>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</si>
  <si>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</si>
  <si>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</si>
  <si>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</si>
  <si>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</si>
  <si>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</si>
  <si>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</si>
  <si>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</si>
  <si>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</si>
  <si>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</si>
  <si>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</si>
  <si>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</si>
  <si>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</si>
  <si>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</si>
  <si>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</si>
  <si>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</si>
  <si>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</si>
  <si>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</si>
  <si>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</si>
  <si>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</si>
  <si>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</si>
  <si>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</si>
  <si>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</si>
  <si>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</si>
  <si>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</si>
  <si>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</si>
  <si>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</si>
  <si>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</si>
  <si>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</si>
  <si>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</si>
  <si>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</si>
  <si>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</si>
  <si>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</si>
  <si>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</si>
  <si>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</si>
  <si>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</si>
  <si>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</si>
  <si>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</si>
  <si>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</si>
  <si>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</si>
  <si>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</si>
  <si>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</si>
  <si>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</si>
  <si>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</si>
  <si>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</si>
  <si>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</si>
  <si>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</si>
  <si>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</si>
  <si>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</si>
  <si>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</si>
  <si>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</si>
  <si>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</si>
  <si>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</si>
  <si>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</si>
  <si>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</si>
  <si>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</si>
  <si>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</si>
  <si>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</si>
  <si>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</si>
  <si>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</si>
  <si>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</si>
  <si>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</si>
  <si>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</si>
  <si>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</si>
  <si>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</si>
  <si>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</si>
  <si>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</si>
  <si>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</si>
  <si>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</si>
  <si>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</si>
  <si>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</si>
  <si>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</si>
  <si>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</si>
  <si>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</si>
  <si>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</si>
  <si>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</si>
  <si>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</si>
  <si>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</si>
  <si>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</si>
  <si>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</si>
  <si>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</si>
  <si>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</si>
  <si>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</si>
  <si>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</si>
  <si>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</si>
  <si>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</si>
  <si>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</si>
  <si>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</si>
  <si>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</si>
  <si>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</si>
  <si>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</si>
  <si>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</si>
  <si>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</si>
  <si>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</si>
  <si>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</si>
  <si>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</si>
  <si>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</si>
  <si>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</si>
  <si>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</si>
  <si>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</si>
  <si>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</si>
  <si>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</si>
  <si>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</si>
  <si>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</si>
  <si>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</si>
  <si>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</si>
  <si>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</si>
  <si>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</si>
  <si>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</si>
  <si>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</si>
  <si>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</si>
  <si>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</si>
  <si>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</si>
  <si>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</si>
  <si>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</si>
  <si>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</si>
  <si>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</si>
  <si>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</si>
  <si>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</si>
  <si>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</si>
  <si>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</si>
  <si>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</si>
  <si>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</si>
  <si>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</si>
  <si>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</si>
  <si>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</si>
  <si>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</si>
  <si>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</si>
  <si>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</si>
  <si>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</si>
  <si>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</si>
  <si>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</si>
  <si>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</si>
  <si>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</si>
  <si>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</si>
  <si>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</si>
  <si>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</si>
  <si>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</si>
  <si>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</si>
  <si>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</si>
  <si>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</si>
  <si>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</si>
  <si>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</si>
  <si>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</si>
  <si>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</si>
  <si>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</si>
  <si>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</si>
  <si>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</si>
  <si>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</si>
  <si>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</si>
  <si>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</si>
  <si>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</si>
  <si>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</si>
  <si>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</si>
  <si>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</si>
  <si>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</si>
  <si>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</si>
  <si>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</si>
  <si>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</si>
  <si>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</si>
  <si>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</si>
  <si>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</si>
  <si>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</si>
  <si>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</si>
  <si>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</si>
  <si>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</si>
  <si>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</si>
  <si>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</si>
  <si>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</si>
  <si>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</si>
  <si>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</si>
  <si>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</si>
  <si>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</si>
  <si>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</si>
  <si>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</si>
  <si>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</si>
  <si>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</si>
  <si>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</si>
  <si>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</si>
  <si>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</si>
  <si>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</si>
  <si>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</si>
  <si>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</si>
  <si>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</si>
  <si>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</si>
  <si>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</si>
  <si>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</si>
  <si>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</si>
  <si>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</si>
  <si>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</si>
  <si>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</si>
  <si>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</si>
  <si>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</si>
  <si>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</si>
  <si>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</si>
  <si>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</si>
  <si>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</si>
  <si>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</si>
  <si>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</si>
  <si>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</si>
  <si>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</si>
  <si>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</si>
  <si>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</si>
  <si>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</si>
  <si>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</si>
  <si>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</si>
  <si>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</si>
  <si>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</si>
  <si>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</si>
  <si>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</si>
  <si>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</si>
  <si>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</si>
  <si>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</si>
  <si>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</si>
  <si>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</si>
  <si>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adj made to fb after filing 6/30/11 DOE25 by audit</t>
  </si>
  <si>
    <t>Adj made by auditors after filing 6/30/11 doe 25 due to  rev from rec'bles not recorded in py</t>
  </si>
  <si>
    <t>Monadnock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</si>
</sst>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5" t="s">
        <v>911</v>
      </c>
      <c r="B2" s="21">
        <v>363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2316806</v>
      </c>
      <c r="G9" s="18">
        <v>595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684</v>
      </c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722765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48273</v>
      </c>
      <c r="H12" s="18"/>
      <c r="I12" s="18">
        <v>1002950</v>
      </c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7970</v>
      </c>
      <c r="G13" s="18">
        <v>41349</v>
      </c>
      <c r="H13" s="18">
        <f>84572+818140</f>
        <v>902712</v>
      </c>
      <c r="I13" s="18"/>
      <c r="J13" s="67">
        <f>SUM(I441)</f>
        <v>737659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12281</v>
      </c>
      <c r="G14" s="18">
        <v>56000</v>
      </c>
      <c r="H14" s="18"/>
      <c r="I14" s="18">
        <v>397204</v>
      </c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3060506</v>
      </c>
      <c r="G19" s="41">
        <f>SUM(G9:G18)</f>
        <v>146217</v>
      </c>
      <c r="H19" s="41">
        <f>SUM(H9:H18)</f>
        <v>902712</v>
      </c>
      <c r="I19" s="41">
        <f>SUM(I9:I18)</f>
        <v>1400154</v>
      </c>
      <c r="J19" s="41">
        <f>SUM(J9:J18)</f>
        <v>737659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354763</v>
      </c>
      <c r="G22" s="18"/>
      <c r="H22" s="18">
        <v>732758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48273</v>
      </c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434549</v>
      </c>
      <c r="G24" s="18">
        <v>25425</v>
      </c>
      <c r="H24" s="18">
        <f>30936+85382</f>
        <v>116318</v>
      </c>
      <c r="I24" s="18">
        <v>314470</v>
      </c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460344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1297929</v>
      </c>
      <c r="G32" s="41">
        <f>SUM(G22:G31)</f>
        <v>25425</v>
      </c>
      <c r="H32" s="41">
        <f>SUM(H22:H31)</f>
        <v>849076</v>
      </c>
      <c r="I32" s="41">
        <f>SUM(I22:I31)</f>
        <v>314470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120792</v>
      </c>
      <c r="H43" s="18">
        <f>53636</f>
        <v>53636</v>
      </c>
      <c r="I43" s="18"/>
      <c r="J43" s="13">
        <f>SUM(I455)</f>
        <v>401404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1085684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336255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1762577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1762577</v>
      </c>
      <c r="G50" s="41">
        <f>SUM(G35:G49)</f>
        <v>120792</v>
      </c>
      <c r="H50" s="41">
        <f>SUM(H35:H49)</f>
        <v>53636</v>
      </c>
      <c r="I50" s="41">
        <f>SUM(I35:I49)</f>
        <v>1085684</v>
      </c>
      <c r="J50" s="41">
        <f>SUM(J35:J49)</f>
        <v>737659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3060506</v>
      </c>
      <c r="G51" s="41">
        <f>G50+G32</f>
        <v>146217</v>
      </c>
      <c r="H51" s="41">
        <f>H50+H32</f>
        <v>902712</v>
      </c>
      <c r="I51" s="41">
        <f>I50+I32</f>
        <v>1400154</v>
      </c>
      <c r="J51" s="41">
        <f>J50+J32</f>
        <v>737659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18615965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34850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18650815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26655</v>
      </c>
      <c r="G62" s="24" t="s">
        <v>289</v>
      </c>
      <c r="H62" s="18">
        <v>37385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73968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100623</v>
      </c>
      <c r="G78" s="45" t="s">
        <v>289</v>
      </c>
      <c r="H78" s="41">
        <f>SUM(H62:H77)</f>
        <v>37385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994</v>
      </c>
      <c r="G95" s="18">
        <v>21</v>
      </c>
      <c r="H95" s="18"/>
      <c r="I95" s="18"/>
      <c r="J95" s="18">
        <v>1931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572678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13853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1100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227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5484</v>
      </c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f>72660-4512</f>
        <v>68148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39833</f>
        <v>39833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128539</v>
      </c>
      <c r="G110" s="41">
        <f>SUM(G95:G109)</f>
        <v>572699</v>
      </c>
      <c r="H110" s="41">
        <f>SUM(H95:H109)</f>
        <v>1100</v>
      </c>
      <c r="I110" s="41">
        <f>SUM(I95:I109)</f>
        <v>0</v>
      </c>
      <c r="J110" s="41">
        <f>SUM(J95:J109)</f>
        <v>1931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18879977</v>
      </c>
      <c r="G111" s="41">
        <f>G59+G110</f>
        <v>572699</v>
      </c>
      <c r="H111" s="41">
        <f>H59+H78+H93+H110</f>
        <v>38485</v>
      </c>
      <c r="I111" s="41">
        <f>I59+I110</f>
        <v>0</v>
      </c>
      <c r="J111" s="41">
        <f>J59+J110</f>
        <v>1931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10811243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2743297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9367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f>22809+9039</f>
        <v>31848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13595755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630701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275847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4280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910828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>
        <v>13400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14506583</v>
      </c>
      <c r="G139" s="41">
        <f>G120+SUM(G135:G136)</f>
        <v>0</v>
      </c>
      <c r="H139" s="41">
        <f>H120+SUM(H135:H138)</f>
        <v>13400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v>2657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292847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292847</v>
      </c>
      <c r="G146" s="41">
        <f>SUM(G144:G145)</f>
        <v>0</v>
      </c>
      <c r="H146" s="41">
        <f>SUM(H144:H145)</f>
        <v>2657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462905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980406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9932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493324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238270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238270</v>
      </c>
      <c r="G161" s="41">
        <f>SUM(G149:G160)</f>
        <v>493324</v>
      </c>
      <c r="H161" s="41">
        <f>SUM(H149:H160)</f>
        <v>1453243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531117</v>
      </c>
      <c r="G168" s="41">
        <f>G146+G161+SUM(G162:G167)</f>
        <v>493324</v>
      </c>
      <c r="H168" s="41">
        <f>H146+H161+SUM(H162:H167)</f>
        <v>1455900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>
        <v>1094737</v>
      </c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4512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4512</v>
      </c>
      <c r="G182" s="41">
        <f>SUM(G178:G181)</f>
        <v>0</v>
      </c>
      <c r="H182" s="41">
        <f>SUM(H178:H181)</f>
        <v>0</v>
      </c>
      <c r="I182" s="41">
        <f>SUM(I178:I181)</f>
        <v>1094737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>
        <v>897204</v>
      </c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897204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4512</v>
      </c>
      <c r="G191" s="41">
        <f>G182+SUM(G187:G190)</f>
        <v>0</v>
      </c>
      <c r="H191" s="41">
        <f>+H182+SUM(H187:H190)</f>
        <v>0</v>
      </c>
      <c r="I191" s="41">
        <f>I176+I182+SUM(I187:I190)</f>
        <v>1991941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33922189</v>
      </c>
      <c r="G192" s="47">
        <f>G111+G139+G168+G191</f>
        <v>1066023</v>
      </c>
      <c r="H192" s="47">
        <f>H111+H139+H168+H191</f>
        <v>1507785</v>
      </c>
      <c r="I192" s="47">
        <f>I111+I139+I168+I191</f>
        <v>1991941</v>
      </c>
      <c r="J192" s="47">
        <f>J111+J139+J191</f>
        <v>51931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6" t="s">
        <v>693</v>
      </c>
      <c r="G193" s="176" t="s">
        <v>694</v>
      </c>
      <c r="H193" s="176" t="s">
        <v>695</v>
      </c>
      <c r="I193" s="176" t="s">
        <v>696</v>
      </c>
      <c r="J193" s="176" t="s">
        <v>697</v>
      </c>
      <c r="K193" s="176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173244+3678514</f>
        <v>3851758</v>
      </c>
      <c r="G196" s="18">
        <f>1629339+42596</f>
        <v>1671935</v>
      </c>
      <c r="H196" s="18">
        <f>139283+5067</f>
        <v>144350</v>
      </c>
      <c r="I196" s="18">
        <f>170775+49163</f>
        <v>219938</v>
      </c>
      <c r="J196" s="18">
        <f>130814+5909</f>
        <v>136723</v>
      </c>
      <c r="K196" s="18">
        <v>6126</v>
      </c>
      <c r="L196" s="19">
        <f>SUM(F196:K196)</f>
        <v>6030830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144701+2675780</f>
        <v>2820481</v>
      </c>
      <c r="G197" s="18">
        <f>1709011+50852</f>
        <v>1759863</v>
      </c>
      <c r="H197" s="18">
        <f>901+841742</f>
        <v>842643</v>
      </c>
      <c r="I197" s="18">
        <f>16735+4257</f>
        <v>20992</v>
      </c>
      <c r="J197" s="18">
        <f>3085+2042</f>
        <v>5127</v>
      </c>
      <c r="K197" s="18">
        <v>473</v>
      </c>
      <c r="L197" s="19">
        <f>SUM(F197:K197)</f>
        <v>5449579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2549</v>
      </c>
      <c r="G199" s="18">
        <v>332</v>
      </c>
      <c r="H199" s="18">
        <v>830</v>
      </c>
      <c r="I199" s="18">
        <v>0</v>
      </c>
      <c r="J199" s="18">
        <v>0</v>
      </c>
      <c r="K199" s="18">
        <v>0</v>
      </c>
      <c r="L199" s="19">
        <f>SUM(F199:K199)</f>
        <v>3711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832523</v>
      </c>
      <c r="G201" s="18">
        <f>170118+156623</f>
        <v>326741</v>
      </c>
      <c r="H201" s="18">
        <f>4195+2467</f>
        <v>6662</v>
      </c>
      <c r="I201" s="18">
        <v>8483</v>
      </c>
      <c r="J201" s="18"/>
      <c r="K201" s="18">
        <v>382</v>
      </c>
      <c r="L201" s="19">
        <f t="shared" ref="L201:L207" si="0">SUM(F201:K201)</f>
        <v>1174791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79487+116713</f>
        <v>196200</v>
      </c>
      <c r="G202" s="18">
        <f>20612+102093</f>
        <v>122705</v>
      </c>
      <c r="H202" s="18">
        <f>3555+24942</f>
        <v>28497</v>
      </c>
      <c r="I202" s="18">
        <f>14703+5324</f>
        <v>20027</v>
      </c>
      <c r="J202" s="18">
        <v>763</v>
      </c>
      <c r="K202" s="18">
        <v>661</v>
      </c>
      <c r="L202" s="19">
        <f t="shared" si="0"/>
        <v>368853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104409</v>
      </c>
      <c r="G203" s="18">
        <v>27305</v>
      </c>
      <c r="H203" s="18">
        <v>107105</v>
      </c>
      <c r="I203" s="18">
        <v>6776</v>
      </c>
      <c r="J203" s="18">
        <v>4948</v>
      </c>
      <c r="K203" s="18"/>
      <c r="L203" s="19">
        <f t="shared" si="0"/>
        <v>250543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619037</v>
      </c>
      <c r="G204" s="18">
        <v>280897</v>
      </c>
      <c r="H204" s="18">
        <v>49377</v>
      </c>
      <c r="I204" s="18">
        <v>6109</v>
      </c>
      <c r="J204" s="18">
        <v>2063</v>
      </c>
      <c r="K204" s="18">
        <v>1996</v>
      </c>
      <c r="L204" s="19">
        <f t="shared" si="0"/>
        <v>959479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120091</v>
      </c>
      <c r="G205" s="18">
        <v>110762</v>
      </c>
      <c r="H205" s="18">
        <v>125865</v>
      </c>
      <c r="I205" s="18"/>
      <c r="J205" s="18">
        <v>8049</v>
      </c>
      <c r="K205" s="18">
        <v>628</v>
      </c>
      <c r="L205" s="19">
        <f t="shared" si="0"/>
        <v>365395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535895</v>
      </c>
      <c r="G206" s="18">
        <v>270080</v>
      </c>
      <c r="H206" s="18">
        <v>167209</v>
      </c>
      <c r="I206" s="18">
        <v>399619</v>
      </c>
      <c r="J206" s="18">
        <v>42255</v>
      </c>
      <c r="K206" s="18">
        <v>295</v>
      </c>
      <c r="L206" s="19">
        <f t="shared" si="0"/>
        <v>1415353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1055530</v>
      </c>
      <c r="I207" s="18"/>
      <c r="J207" s="18"/>
      <c r="K207" s="18"/>
      <c r="L207" s="19">
        <f t="shared" si="0"/>
        <v>1055530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273094</v>
      </c>
      <c r="G208" s="18">
        <v>28319</v>
      </c>
      <c r="H208" s="18"/>
      <c r="I208" s="18"/>
      <c r="J208" s="18"/>
      <c r="K208" s="18"/>
      <c r="L208" s="19">
        <f>SUM(F208:K208)</f>
        <v>301413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9356037</v>
      </c>
      <c r="G210" s="41">
        <f t="shared" si="1"/>
        <v>4598939</v>
      </c>
      <c r="H210" s="41">
        <f t="shared" si="1"/>
        <v>2528068</v>
      </c>
      <c r="I210" s="41">
        <f t="shared" si="1"/>
        <v>681944</v>
      </c>
      <c r="J210" s="41">
        <f t="shared" si="1"/>
        <v>199928</v>
      </c>
      <c r="K210" s="41">
        <f t="shared" si="1"/>
        <v>10561</v>
      </c>
      <c r="L210" s="41">
        <f t="shared" si="1"/>
        <v>17375477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6" t="s">
        <v>693</v>
      </c>
      <c r="G211" s="176" t="s">
        <v>694</v>
      </c>
      <c r="H211" s="176" t="s">
        <v>695</v>
      </c>
      <c r="I211" s="176" t="s">
        <v>696</v>
      </c>
      <c r="J211" s="176" t="s">
        <v>697</v>
      </c>
      <c r="K211" s="176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1206151+53306</f>
        <v>1259457</v>
      </c>
      <c r="G214" s="18">
        <f>13107+501270</f>
        <v>514377</v>
      </c>
      <c r="H214" s="18">
        <f>11311+42856</f>
        <v>54167</v>
      </c>
      <c r="I214" s="18">
        <f>15127+51728</f>
        <v>66855</v>
      </c>
      <c r="J214" s="18">
        <f>11601+40251</f>
        <v>51852</v>
      </c>
      <c r="K214" s="18">
        <f>1885+1035</f>
        <v>2920</v>
      </c>
      <c r="L214" s="19">
        <f>SUM(F214:K214)</f>
        <v>1949628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44524+385648</f>
        <v>430172</v>
      </c>
      <c r="G215" s="18">
        <f>246401+15647</f>
        <v>262048</v>
      </c>
      <c r="H215" s="18">
        <f>258998+3398-105</f>
        <v>262291</v>
      </c>
      <c r="I215" s="18">
        <f>4092+1310</f>
        <v>5402</v>
      </c>
      <c r="J215" s="18">
        <f>949+154</f>
        <v>1103</v>
      </c>
      <c r="K215" s="18">
        <f>87+145</f>
        <v>232</v>
      </c>
      <c r="L215" s="19">
        <f>SUM(F215:K215)</f>
        <v>961248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55409</v>
      </c>
      <c r="G217" s="18">
        <v>5792</v>
      </c>
      <c r="H217" s="18">
        <v>3580</v>
      </c>
      <c r="I217" s="18">
        <v>16775</v>
      </c>
      <c r="J217" s="18">
        <v>1352</v>
      </c>
      <c r="K217" s="18">
        <v>2281</v>
      </c>
      <c r="L217" s="19">
        <f>SUM(F217:K217)</f>
        <v>85189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227461</v>
      </c>
      <c r="G219" s="18">
        <v>97939</v>
      </c>
      <c r="H219" s="18">
        <v>4518</v>
      </c>
      <c r="I219" s="18">
        <v>6047</v>
      </c>
      <c r="J219" s="18">
        <v>1187</v>
      </c>
      <c r="K219" s="18">
        <v>1940</v>
      </c>
      <c r="L219" s="19">
        <f t="shared" ref="L219:L225" si="2">SUM(F219:K219)</f>
        <v>339092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24457</v>
      </c>
      <c r="G220" s="18">
        <v>6342</v>
      </c>
      <c r="H220" s="18">
        <f>7674+469</f>
        <v>8143</v>
      </c>
      <c r="I220" s="18">
        <f>1638+8881</f>
        <v>10519</v>
      </c>
      <c r="J220" s="18">
        <f>895</f>
        <v>895</v>
      </c>
      <c r="K220" s="18">
        <v>203</v>
      </c>
      <c r="L220" s="19">
        <f t="shared" si="2"/>
        <v>50559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32126</v>
      </c>
      <c r="G221" s="18">
        <v>8401</v>
      </c>
      <c r="H221" s="18">
        <v>32955</v>
      </c>
      <c r="I221" s="18">
        <v>2085</v>
      </c>
      <c r="J221" s="18">
        <v>1523</v>
      </c>
      <c r="K221" s="18"/>
      <c r="L221" s="19">
        <f t="shared" si="2"/>
        <v>77090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142055</v>
      </c>
      <c r="G222" s="18">
        <v>58885</v>
      </c>
      <c r="H222" s="18">
        <v>23037</v>
      </c>
      <c r="I222" s="18">
        <v>1510</v>
      </c>
      <c r="J222" s="18">
        <v>2239</v>
      </c>
      <c r="K222" s="18">
        <v>1310</v>
      </c>
      <c r="L222" s="19">
        <f t="shared" si="2"/>
        <v>229036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36951</v>
      </c>
      <c r="G223" s="18">
        <v>34080</v>
      </c>
      <c r="H223" s="18">
        <v>38728</v>
      </c>
      <c r="I223" s="18"/>
      <c r="J223" s="18">
        <v>2476</v>
      </c>
      <c r="K223" s="18">
        <v>193</v>
      </c>
      <c r="L223" s="19">
        <f t="shared" si="2"/>
        <v>112428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168101</v>
      </c>
      <c r="G224" s="18">
        <v>78642</v>
      </c>
      <c r="H224" s="18">
        <v>39059</v>
      </c>
      <c r="I224" s="18">
        <v>102527</v>
      </c>
      <c r="J224" s="18">
        <v>9723</v>
      </c>
      <c r="K224" s="18">
        <v>91</v>
      </c>
      <c r="L224" s="19">
        <f t="shared" si="2"/>
        <v>398143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356994</v>
      </c>
      <c r="I225" s="18"/>
      <c r="J225" s="18"/>
      <c r="K225" s="18"/>
      <c r="L225" s="19">
        <f t="shared" si="2"/>
        <v>356994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84029</v>
      </c>
      <c r="G226" s="18">
        <v>8714</v>
      </c>
      <c r="H226" s="18"/>
      <c r="I226" s="18"/>
      <c r="J226" s="18"/>
      <c r="K226" s="18"/>
      <c r="L226" s="19">
        <f>SUM(F226:K226)</f>
        <v>92743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2460218</v>
      </c>
      <c r="G228" s="41">
        <f>SUM(G214:G227)</f>
        <v>1075220</v>
      </c>
      <c r="H228" s="41">
        <f>SUM(H214:H227)</f>
        <v>823472</v>
      </c>
      <c r="I228" s="41">
        <f>SUM(I214:I227)</f>
        <v>211720</v>
      </c>
      <c r="J228" s="41">
        <f>SUM(J214:J227)</f>
        <v>72350</v>
      </c>
      <c r="K228" s="41">
        <f t="shared" si="3"/>
        <v>9170</v>
      </c>
      <c r="L228" s="41">
        <f t="shared" si="3"/>
        <v>4652150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6" t="s">
        <v>693</v>
      </c>
      <c r="G229" s="176" t="s">
        <v>694</v>
      </c>
      <c r="H229" s="176" t="s">
        <v>695</v>
      </c>
      <c r="I229" s="176" t="s">
        <v>696</v>
      </c>
      <c r="J229" s="176" t="s">
        <v>697</v>
      </c>
      <c r="K229" s="176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2448851+106612</f>
        <v>2555463</v>
      </c>
      <c r="G232" s="18">
        <f>26213+1017730</f>
        <v>1043943</v>
      </c>
      <c r="H232" s="18">
        <f>85712+22965</f>
        <v>108677</v>
      </c>
      <c r="I232" s="18">
        <f>105024+30254</f>
        <v>135278</v>
      </c>
      <c r="J232" s="18">
        <f>23555+80501</f>
        <v>104056</v>
      </c>
      <c r="K232" s="18">
        <f>3770+2101</f>
        <v>5871</v>
      </c>
      <c r="L232" s="19">
        <f>SUM(F232:K232)</f>
        <v>3953288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782982+89047</f>
        <v>872029</v>
      </c>
      <c r="G233" s="18">
        <f>31294+500268</f>
        <v>531562</v>
      </c>
      <c r="H233" s="18">
        <f>6899+517995</f>
        <v>524894</v>
      </c>
      <c r="I233" s="18">
        <f>2620+8307</f>
        <v>10927</v>
      </c>
      <c r="J233" s="18">
        <f>312+1899</f>
        <v>2211</v>
      </c>
      <c r="K233" s="18">
        <f>177+291</f>
        <v>468</v>
      </c>
      <c r="L233" s="19">
        <f>SUM(F233:K233)</f>
        <v>1942091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v>51427</v>
      </c>
      <c r="I234" s="18"/>
      <c r="J234" s="18"/>
      <c r="K234" s="18"/>
      <c r="L234" s="19">
        <f>SUM(F234:K234)</f>
        <v>51427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112496</v>
      </c>
      <c r="G235" s="18">
        <v>11759</v>
      </c>
      <c r="H235" s="18">
        <v>7268</v>
      </c>
      <c r="I235" s="18">
        <v>34059</v>
      </c>
      <c r="J235" s="18">
        <v>2744</v>
      </c>
      <c r="K235" s="18">
        <v>4636</v>
      </c>
      <c r="L235" s="19">
        <f>SUM(F235:K235)</f>
        <v>172962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458063</v>
      </c>
      <c r="G237" s="18">
        <v>197260</v>
      </c>
      <c r="H237" s="18">
        <v>9135</v>
      </c>
      <c r="I237" s="18">
        <v>12272</v>
      </c>
      <c r="J237" s="18">
        <v>2409</v>
      </c>
      <c r="K237" s="18">
        <v>3937</v>
      </c>
      <c r="L237" s="19">
        <f t="shared" ref="L237:L243" si="4">SUM(F237:K237)</f>
        <v>683076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48915+159959</f>
        <v>208874</v>
      </c>
      <c r="G238" s="18">
        <f>64811+12684</f>
        <v>77495</v>
      </c>
      <c r="H238" s="18">
        <f>951+15349</f>
        <v>16300</v>
      </c>
      <c r="I238" s="18">
        <f>3276+18031</f>
        <v>21307</v>
      </c>
      <c r="J238" s="18">
        <v>1816</v>
      </c>
      <c r="K238" s="18">
        <v>407</v>
      </c>
      <c r="L238" s="19">
        <f t="shared" si="4"/>
        <v>326199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64252</v>
      </c>
      <c r="G239" s="18">
        <v>16803</v>
      </c>
      <c r="H239" s="18">
        <v>65911</v>
      </c>
      <c r="I239" s="18">
        <v>4170</v>
      </c>
      <c r="J239" s="18">
        <v>3045</v>
      </c>
      <c r="K239" s="18"/>
      <c r="L239" s="19">
        <f t="shared" si="4"/>
        <v>154181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288414</v>
      </c>
      <c r="G240" s="18">
        <v>119555</v>
      </c>
      <c r="H240" s="18">
        <v>46773</v>
      </c>
      <c r="I240" s="18">
        <v>3067</v>
      </c>
      <c r="J240" s="18">
        <v>4547</v>
      </c>
      <c r="K240" s="18">
        <v>2660</v>
      </c>
      <c r="L240" s="19">
        <f t="shared" si="4"/>
        <v>465016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73902</v>
      </c>
      <c r="G241" s="18">
        <v>68161</v>
      </c>
      <c r="H241" s="18">
        <v>77455</v>
      </c>
      <c r="I241" s="18"/>
      <c r="J241" s="18">
        <v>4952</v>
      </c>
      <c r="K241" s="18">
        <v>387</v>
      </c>
      <c r="L241" s="19">
        <f t="shared" si="4"/>
        <v>224857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339127</v>
      </c>
      <c r="G242" s="18">
        <v>158786</v>
      </c>
      <c r="H242" s="18">
        <v>79013</v>
      </c>
      <c r="I242" s="18">
        <v>207922</v>
      </c>
      <c r="J242" s="18">
        <v>19666</v>
      </c>
      <c r="K242" s="18">
        <v>182</v>
      </c>
      <c r="L242" s="19">
        <f t="shared" si="4"/>
        <v>804696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743554</v>
      </c>
      <c r="I243" s="18"/>
      <c r="J243" s="18"/>
      <c r="K243" s="18"/>
      <c r="L243" s="19">
        <f t="shared" si="4"/>
        <v>743554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168058</v>
      </c>
      <c r="G244" s="18">
        <v>17425</v>
      </c>
      <c r="H244" s="18"/>
      <c r="I244" s="18"/>
      <c r="J244" s="18"/>
      <c r="K244" s="18"/>
      <c r="L244" s="19">
        <f>SUM(F244:K244)</f>
        <v>185483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5140678</v>
      </c>
      <c r="G246" s="41">
        <f t="shared" si="5"/>
        <v>2242749</v>
      </c>
      <c r="H246" s="41">
        <f t="shared" si="5"/>
        <v>1730407</v>
      </c>
      <c r="I246" s="41">
        <f t="shared" si="5"/>
        <v>429002</v>
      </c>
      <c r="J246" s="41">
        <f t="shared" si="5"/>
        <v>145446</v>
      </c>
      <c r="K246" s="41">
        <f t="shared" si="5"/>
        <v>18548</v>
      </c>
      <c r="L246" s="41">
        <f t="shared" si="5"/>
        <v>9706830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6" t="s">
        <v>693</v>
      </c>
      <c r="G247" s="176" t="s">
        <v>694</v>
      </c>
      <c r="H247" s="176" t="s">
        <v>695</v>
      </c>
      <c r="I247" s="176" t="s">
        <v>696</v>
      </c>
      <c r="J247" s="176" t="s">
        <v>697</v>
      </c>
      <c r="K247" s="176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5100</v>
      </c>
      <c r="I254" s="18"/>
      <c r="J254" s="18"/>
      <c r="K254" s="18"/>
      <c r="L254" s="19">
        <f t="shared" si="6"/>
        <v>5100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5100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5100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16956933</v>
      </c>
      <c r="G256" s="41">
        <f t="shared" si="8"/>
        <v>7916908</v>
      </c>
      <c r="H256" s="41">
        <f t="shared" si="8"/>
        <v>5087047</v>
      </c>
      <c r="I256" s="41">
        <f t="shared" si="8"/>
        <v>1322666</v>
      </c>
      <c r="J256" s="41">
        <f t="shared" si="8"/>
        <v>417724</v>
      </c>
      <c r="K256" s="41">
        <f t="shared" si="8"/>
        <v>38279</v>
      </c>
      <c r="L256" s="41">
        <f t="shared" si="8"/>
        <v>31739557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1094737</v>
      </c>
      <c r="L264" s="19">
        <f t="shared" si="9"/>
        <v>1094737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1144737</v>
      </c>
      <c r="L269" s="41">
        <f t="shared" si="9"/>
        <v>1144737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16956933</v>
      </c>
      <c r="G270" s="42">
        <f t="shared" si="11"/>
        <v>7916908</v>
      </c>
      <c r="H270" s="42">
        <f t="shared" si="11"/>
        <v>5087047</v>
      </c>
      <c r="I270" s="42">
        <f t="shared" si="11"/>
        <v>1322666</v>
      </c>
      <c r="J270" s="42">
        <f t="shared" si="11"/>
        <v>417724</v>
      </c>
      <c r="K270" s="42">
        <f t="shared" si="11"/>
        <v>1183016</v>
      </c>
      <c r="L270" s="42">
        <f t="shared" si="11"/>
        <v>32884294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6" t="s">
        <v>693</v>
      </c>
      <c r="G272" s="176" t="s">
        <v>694</v>
      </c>
      <c r="H272" s="176" t="s">
        <v>695</v>
      </c>
      <c r="I272" s="176" t="s">
        <v>696</v>
      </c>
      <c r="J272" s="176" t="s">
        <v>697</v>
      </c>
      <c r="K272" s="176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31854+334072+17955</f>
        <v>383881</v>
      </c>
      <c r="G275" s="18">
        <f>2590+135954+2022</f>
        <v>140566</v>
      </c>
      <c r="H275" s="18">
        <f>37879+12694+1475</f>
        <v>52048</v>
      </c>
      <c r="I275" s="18">
        <f>41409+72562+11940</f>
        <v>125911</v>
      </c>
      <c r="J275" s="18">
        <v>631</v>
      </c>
      <c r="K275" s="18">
        <v>600</v>
      </c>
      <c r="L275" s="19">
        <f>SUM(F275:K275)</f>
        <v>703637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6906+120566</f>
        <v>127472</v>
      </c>
      <c r="G276" s="18">
        <f>556+44433</f>
        <v>44989</v>
      </c>
      <c r="H276" s="18">
        <v>16397</v>
      </c>
      <c r="I276" s="18">
        <f>1546+35725</f>
        <v>37271</v>
      </c>
      <c r="J276" s="18">
        <v>59933</v>
      </c>
      <c r="K276" s="18"/>
      <c r="L276" s="19">
        <f>SUM(F276:K276)</f>
        <v>286062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>
        <v>326</v>
      </c>
      <c r="I277" s="18"/>
      <c r="J277" s="18"/>
      <c r="K277" s="18"/>
      <c r="L277" s="19">
        <f>SUM(F277:K277)</f>
        <v>326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v>23221</v>
      </c>
      <c r="I280" s="18"/>
      <c r="J280" s="18"/>
      <c r="K280" s="18"/>
      <c r="L280" s="19">
        <f t="shared" ref="L280:L286" si="12">SUM(F280:K280)</f>
        <v>23221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13521</v>
      </c>
      <c r="G281" s="18">
        <v>2061</v>
      </c>
      <c r="H281" s="18">
        <f>55614+50070+3121</f>
        <v>108805</v>
      </c>
      <c r="I281" s="18">
        <f>138+4450</f>
        <v>4588</v>
      </c>
      <c r="J281" s="18">
        <f>17652+7916</f>
        <v>25568</v>
      </c>
      <c r="K281" s="18"/>
      <c r="L281" s="19">
        <f t="shared" si="12"/>
        <v>154543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1040</v>
      </c>
      <c r="G282" s="18">
        <v>138</v>
      </c>
      <c r="H282" s="18">
        <v>12304</v>
      </c>
      <c r="I282" s="18">
        <v>85</v>
      </c>
      <c r="J282" s="18"/>
      <c r="K282" s="18">
        <v>19478</v>
      </c>
      <c r="L282" s="19">
        <f t="shared" si="12"/>
        <v>33045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525914</v>
      </c>
      <c r="G289" s="42">
        <f t="shared" si="13"/>
        <v>187754</v>
      </c>
      <c r="H289" s="42">
        <f t="shared" si="13"/>
        <v>213101</v>
      </c>
      <c r="I289" s="42">
        <f t="shared" si="13"/>
        <v>167855</v>
      </c>
      <c r="J289" s="42">
        <f t="shared" si="13"/>
        <v>86132</v>
      </c>
      <c r="K289" s="42">
        <f t="shared" si="13"/>
        <v>20078</v>
      </c>
      <c r="L289" s="41">
        <f t="shared" si="13"/>
        <v>1200834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6" t="s">
        <v>693</v>
      </c>
      <c r="G291" s="176" t="s">
        <v>694</v>
      </c>
      <c r="H291" s="176" t="s">
        <v>695</v>
      </c>
      <c r="I291" s="176" t="s">
        <v>696</v>
      </c>
      <c r="J291" s="176" t="s">
        <v>697</v>
      </c>
      <c r="K291" s="176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5525</v>
      </c>
      <c r="G294" s="18">
        <v>622</v>
      </c>
      <c r="H294" s="18">
        <v>454</v>
      </c>
      <c r="I294" s="18">
        <v>3674</v>
      </c>
      <c r="J294" s="18">
        <v>194</v>
      </c>
      <c r="K294" s="18"/>
      <c r="L294" s="19">
        <f>SUM(F294:K294)</f>
        <v>10469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37097</v>
      </c>
      <c r="G295" s="18">
        <v>13672</v>
      </c>
      <c r="H295" s="18">
        <v>5045</v>
      </c>
      <c r="I295" s="18">
        <v>10992</v>
      </c>
      <c r="J295" s="18">
        <v>18441</v>
      </c>
      <c r="K295" s="18"/>
      <c r="L295" s="19">
        <f>SUM(F295:K295)</f>
        <v>85247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>
        <v>100</v>
      </c>
      <c r="I296" s="18"/>
      <c r="J296" s="18"/>
      <c r="K296" s="18"/>
      <c r="L296" s="19">
        <f>SUM(F296:K296)</f>
        <v>100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4160</v>
      </c>
      <c r="G300" s="18">
        <v>634</v>
      </c>
      <c r="H300" s="18">
        <f>15406+961</f>
        <v>16367</v>
      </c>
      <c r="I300" s="18">
        <v>1369</v>
      </c>
      <c r="J300" s="18">
        <v>2436</v>
      </c>
      <c r="K300" s="18"/>
      <c r="L300" s="19">
        <f t="shared" si="14"/>
        <v>24966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320</v>
      </c>
      <c r="G301" s="18">
        <v>43</v>
      </c>
      <c r="H301" s="18">
        <v>3786</v>
      </c>
      <c r="I301" s="18">
        <v>26</v>
      </c>
      <c r="J301" s="18"/>
      <c r="K301" s="18"/>
      <c r="L301" s="19">
        <f t="shared" si="14"/>
        <v>4175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47102</v>
      </c>
      <c r="G308" s="42">
        <f t="shared" si="15"/>
        <v>14971</v>
      </c>
      <c r="H308" s="42">
        <f t="shared" si="15"/>
        <v>25752</v>
      </c>
      <c r="I308" s="42">
        <f t="shared" si="15"/>
        <v>16061</v>
      </c>
      <c r="J308" s="42">
        <f t="shared" si="15"/>
        <v>21071</v>
      </c>
      <c r="K308" s="42">
        <f t="shared" si="15"/>
        <v>0</v>
      </c>
      <c r="L308" s="41">
        <f t="shared" si="15"/>
        <v>124957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6" t="s">
        <v>693</v>
      </c>
      <c r="G310" s="176" t="s">
        <v>694</v>
      </c>
      <c r="H310" s="176" t="s">
        <v>695</v>
      </c>
      <c r="I310" s="176" t="s">
        <v>696</v>
      </c>
      <c r="J310" s="176" t="s">
        <v>697</v>
      </c>
      <c r="K310" s="176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f>8689+11049</f>
        <v>19738</v>
      </c>
      <c r="G313" s="18">
        <f>1243+1244</f>
        <v>2487</v>
      </c>
      <c r="H313" s="18">
        <v>908</v>
      </c>
      <c r="I313" s="18">
        <f>45+7348</f>
        <v>7393</v>
      </c>
      <c r="J313" s="18">
        <v>388</v>
      </c>
      <c r="K313" s="18"/>
      <c r="L313" s="19">
        <f>SUM(F313:K313)</f>
        <v>30914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74195</v>
      </c>
      <c r="G314" s="18">
        <v>27343</v>
      </c>
      <c r="H314" s="18">
        <v>10091</v>
      </c>
      <c r="I314" s="18">
        <v>21985</v>
      </c>
      <c r="J314" s="18">
        <v>36881</v>
      </c>
      <c r="K314" s="18"/>
      <c r="L314" s="19">
        <f>SUM(F314:K314)</f>
        <v>170495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>
        <v>201</v>
      </c>
      <c r="I315" s="18"/>
      <c r="J315" s="18"/>
      <c r="K315" s="18"/>
      <c r="L315" s="19">
        <f>SUM(F315:K315)</f>
        <v>201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8321</v>
      </c>
      <c r="G319" s="18">
        <v>1268</v>
      </c>
      <c r="H319" s="18">
        <f>30812+1921</f>
        <v>32733</v>
      </c>
      <c r="I319" s="18">
        <v>2738</v>
      </c>
      <c r="J319" s="18">
        <v>4871</v>
      </c>
      <c r="K319" s="18"/>
      <c r="L319" s="19">
        <f t="shared" si="16"/>
        <v>49931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640</v>
      </c>
      <c r="G320" s="18">
        <v>85</v>
      </c>
      <c r="H320" s="18">
        <v>7575</v>
      </c>
      <c r="I320" s="18">
        <v>52</v>
      </c>
      <c r="J320" s="18"/>
      <c r="K320" s="18"/>
      <c r="L320" s="19">
        <f t="shared" si="16"/>
        <v>8352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102894</v>
      </c>
      <c r="G327" s="42">
        <f t="shared" si="17"/>
        <v>31183</v>
      </c>
      <c r="H327" s="42">
        <f t="shared" si="17"/>
        <v>51508</v>
      </c>
      <c r="I327" s="42">
        <f t="shared" si="17"/>
        <v>32168</v>
      </c>
      <c r="J327" s="42">
        <f t="shared" si="17"/>
        <v>42140</v>
      </c>
      <c r="K327" s="42">
        <f t="shared" si="17"/>
        <v>0</v>
      </c>
      <c r="L327" s="41">
        <f t="shared" si="17"/>
        <v>259893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6" t="s">
        <v>693</v>
      </c>
      <c r="G329" s="176" t="s">
        <v>694</v>
      </c>
      <c r="H329" s="176" t="s">
        <v>695</v>
      </c>
      <c r="I329" s="176" t="s">
        <v>696</v>
      </c>
      <c r="J329" s="176" t="s">
        <v>697</v>
      </c>
      <c r="K329" s="176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675910</v>
      </c>
      <c r="G337" s="41">
        <f t="shared" si="20"/>
        <v>233908</v>
      </c>
      <c r="H337" s="41">
        <f t="shared" si="20"/>
        <v>290361</v>
      </c>
      <c r="I337" s="41">
        <f t="shared" si="20"/>
        <v>216084</v>
      </c>
      <c r="J337" s="41">
        <f t="shared" si="20"/>
        <v>149343</v>
      </c>
      <c r="K337" s="41">
        <f t="shared" si="20"/>
        <v>20078</v>
      </c>
      <c r="L337" s="41">
        <f t="shared" si="20"/>
        <v>1585684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4512</v>
      </c>
      <c r="L343" s="19">
        <f t="shared" ref="L343:L349" si="21">SUM(F343:K343)</f>
        <v>4512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4512</v>
      </c>
      <c r="L350" s="41">
        <f>SUM(L340:L349)</f>
        <v>4512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675910</v>
      </c>
      <c r="G351" s="41">
        <f>G337</f>
        <v>233908</v>
      </c>
      <c r="H351" s="41">
        <f>H337</f>
        <v>290361</v>
      </c>
      <c r="I351" s="41">
        <f>I337</f>
        <v>216084</v>
      </c>
      <c r="J351" s="41">
        <f>J337</f>
        <v>149343</v>
      </c>
      <c r="K351" s="47">
        <f>K337+K350</f>
        <v>24590</v>
      </c>
      <c r="L351" s="41">
        <f>L337+L350</f>
        <v>1590196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6" t="s">
        <v>693</v>
      </c>
      <c r="G353" s="176" t="s">
        <v>694</v>
      </c>
      <c r="H353" s="176" t="s">
        <v>695</v>
      </c>
      <c r="I353" s="176" t="s">
        <v>696</v>
      </c>
      <c r="J353" s="176" t="s">
        <v>697</v>
      </c>
      <c r="K353" s="176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190329</v>
      </c>
      <c r="G357" s="18">
        <v>64029</v>
      </c>
      <c r="H357" s="18">
        <v>4697</v>
      </c>
      <c r="I357" s="18">
        <v>241853</v>
      </c>
      <c r="J357" s="18">
        <v>1478</v>
      </c>
      <c r="K357" s="18">
        <v>184</v>
      </c>
      <c r="L357" s="13">
        <f>SUM(F357:K357)</f>
        <v>502570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58563</v>
      </c>
      <c r="G358" s="18">
        <v>20908</v>
      </c>
      <c r="H358" s="18">
        <v>1534</v>
      </c>
      <c r="I358" s="18">
        <v>78972</v>
      </c>
      <c r="J358" s="18">
        <v>483</v>
      </c>
      <c r="K358" s="18">
        <v>60</v>
      </c>
      <c r="L358" s="19">
        <f>SUM(F358:K358)</f>
        <v>160520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117125</v>
      </c>
      <c r="G359" s="18">
        <v>45735</v>
      </c>
      <c r="H359" s="18">
        <v>3355</v>
      </c>
      <c r="I359" s="18">
        <v>172752</v>
      </c>
      <c r="J359" s="18">
        <v>1056</v>
      </c>
      <c r="K359" s="18">
        <v>132</v>
      </c>
      <c r="L359" s="19">
        <f>SUM(F359:K359)</f>
        <v>340155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366017</v>
      </c>
      <c r="G361" s="47">
        <f t="shared" si="22"/>
        <v>130672</v>
      </c>
      <c r="H361" s="47">
        <f t="shared" si="22"/>
        <v>9586</v>
      </c>
      <c r="I361" s="47">
        <f t="shared" si="22"/>
        <v>493577</v>
      </c>
      <c r="J361" s="47">
        <f t="shared" si="22"/>
        <v>3017</v>
      </c>
      <c r="K361" s="47">
        <f t="shared" si="22"/>
        <v>376</v>
      </c>
      <c r="L361" s="47">
        <f t="shared" si="22"/>
        <v>1003245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232448</v>
      </c>
      <c r="G366" s="18">
        <v>71523</v>
      </c>
      <c r="H366" s="18">
        <v>143045</v>
      </c>
      <c r="I366" s="56">
        <f>SUM(F366:H366)</f>
        <v>447016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24211</v>
      </c>
      <c r="G367" s="63">
        <v>7450</v>
      </c>
      <c r="H367" s="63">
        <v>14900</v>
      </c>
      <c r="I367" s="56">
        <f>SUM(F367:H367)</f>
        <v>46561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256659</v>
      </c>
      <c r="G368" s="47">
        <f>SUM(G366:G367)</f>
        <v>78973</v>
      </c>
      <c r="H368" s="47">
        <f>SUM(H366:H367)</f>
        <v>157945</v>
      </c>
      <c r="I368" s="47">
        <f>SUM(I366:I367)</f>
        <v>493577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6" t="s">
        <v>693</v>
      </c>
      <c r="G370" s="176" t="s">
        <v>694</v>
      </c>
      <c r="H370" s="176" t="s">
        <v>695</v>
      </c>
      <c r="I370" s="176" t="s">
        <v>696</v>
      </c>
      <c r="J370" s="176" t="s">
        <v>697</v>
      </c>
      <c r="K370" s="176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1355729</v>
      </c>
      <c r="I378" s="18"/>
      <c r="J378" s="18"/>
      <c r="K378" s="18"/>
      <c r="L378" s="13">
        <f t="shared" si="23"/>
        <v>1355729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1355729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1355729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1160</v>
      </c>
      <c r="I388" s="18"/>
      <c r="J388" s="24" t="s">
        <v>289</v>
      </c>
      <c r="K388" s="24" t="s">
        <v>289</v>
      </c>
      <c r="L388" s="56">
        <f t="shared" si="25"/>
        <v>1160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1160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1160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>
        <v>23</v>
      </c>
      <c r="I394" s="18"/>
      <c r="J394" s="24" t="s">
        <v>289</v>
      </c>
      <c r="K394" s="24" t="s">
        <v>289</v>
      </c>
      <c r="L394" s="56">
        <f t="shared" ref="L394:L399" si="26">SUM(F394:K394)</f>
        <v>23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144</v>
      </c>
      <c r="I395" s="18"/>
      <c r="J395" s="24" t="s">
        <v>289</v>
      </c>
      <c r="K395" s="24" t="s">
        <v>289</v>
      </c>
      <c r="L395" s="56">
        <f t="shared" si="26"/>
        <v>144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>
        <v>50000</v>
      </c>
      <c r="H396" s="18">
        <v>604</v>
      </c>
      <c r="I396" s="18"/>
      <c r="J396" s="24" t="s">
        <v>289</v>
      </c>
      <c r="K396" s="24" t="s">
        <v>289</v>
      </c>
      <c r="L396" s="56">
        <f t="shared" si="26"/>
        <v>50604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771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50771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1931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51931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6" t="s">
        <v>693</v>
      </c>
      <c r="G408" s="176" t="s">
        <v>694</v>
      </c>
      <c r="H408" s="176" t="s">
        <v>695</v>
      </c>
      <c r="I408" s="176" t="s">
        <v>696</v>
      </c>
      <c r="J408" s="176" t="s">
        <v>697</v>
      </c>
      <c r="K408" s="176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>
        <v>500000</v>
      </c>
      <c r="I414" s="18"/>
      <c r="J414" s="18"/>
      <c r="K414" s="18"/>
      <c r="L414" s="56">
        <f t="shared" si="27"/>
        <v>500000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500000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500000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500000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500000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401404</v>
      </c>
      <c r="G441" s="18">
        <v>336255</v>
      </c>
      <c r="H441" s="18"/>
      <c r="I441" s="56">
        <f t="shared" si="33"/>
        <v>737659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401404</v>
      </c>
      <c r="G445" s="13">
        <f>SUM(G438:G444)</f>
        <v>336255</v>
      </c>
      <c r="H445" s="13">
        <f>SUM(H438:H444)</f>
        <v>0</v>
      </c>
      <c r="I445" s="13">
        <f>SUM(I438:I444)</f>
        <v>737659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401404</v>
      </c>
      <c r="G455" s="18"/>
      <c r="H455" s="18"/>
      <c r="I455" s="56">
        <f t="shared" si="34"/>
        <v>401404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336255</v>
      </c>
      <c r="H458" s="18"/>
      <c r="I458" s="56">
        <f t="shared" si="34"/>
        <v>336255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401404</v>
      </c>
      <c r="G459" s="83">
        <f>SUM(G453:G458)</f>
        <v>336255</v>
      </c>
      <c r="H459" s="83">
        <f>SUM(H453:H458)</f>
        <v>0</v>
      </c>
      <c r="I459" s="83">
        <f>SUM(I453:I458)</f>
        <v>737659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401404</v>
      </c>
      <c r="G460" s="42">
        <f>G451+G459</f>
        <v>336255</v>
      </c>
      <c r="H460" s="42">
        <f>H451+H459</f>
        <v>0</v>
      </c>
      <c r="I460" s="42">
        <f>I451+I459</f>
        <v>737659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8" t="s">
        <v>855</v>
      </c>
      <c r="B464" s="105">
        <v>19</v>
      </c>
      <c r="C464" s="111">
        <v>1</v>
      </c>
      <c r="D464" s="2" t="s">
        <v>433</v>
      </c>
      <c r="E464" s="111"/>
      <c r="F464" s="18">
        <v>765795</v>
      </c>
      <c r="G464" s="18">
        <v>58014</v>
      </c>
      <c r="H464" s="18">
        <v>-170483</v>
      </c>
      <c r="I464" s="18">
        <v>449472</v>
      </c>
      <c r="J464" s="18">
        <v>1185728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33922189</v>
      </c>
      <c r="G467" s="18">
        <v>1066023</v>
      </c>
      <c r="H467" s="18">
        <v>1507785</v>
      </c>
      <c r="I467" s="18">
        <v>1991941</v>
      </c>
      <c r="J467" s="18">
        <v>51931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>
        <v>306530</v>
      </c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33922189</v>
      </c>
      <c r="G469" s="53">
        <f>SUM(G467:G468)</f>
        <v>1066023</v>
      </c>
      <c r="H469" s="53">
        <f>SUM(H467:H468)</f>
        <v>1814315</v>
      </c>
      <c r="I469" s="53">
        <f>SUM(I467:I468)</f>
        <v>1991941</v>
      </c>
      <c r="J469" s="53">
        <f>SUM(J467:J468)</f>
        <v>51931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32884294</v>
      </c>
      <c r="G471" s="18">
        <v>1003245</v>
      </c>
      <c r="H471" s="18">
        <v>1590196</v>
      </c>
      <c r="I471" s="18">
        <v>1355729</v>
      </c>
      <c r="J471" s="18">
        <v>500000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41113</v>
      </c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32925407</v>
      </c>
      <c r="G473" s="53">
        <f>SUM(G471:G472)</f>
        <v>1003245</v>
      </c>
      <c r="H473" s="53">
        <f>SUM(H471:H472)</f>
        <v>1590196</v>
      </c>
      <c r="I473" s="53">
        <f>SUM(I471:I472)</f>
        <v>1355729</v>
      </c>
      <c r="J473" s="53">
        <f>SUM(J471:J472)</f>
        <v>500000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89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1762577</v>
      </c>
      <c r="G475" s="53">
        <f>(G464+G469)- G473</f>
        <v>120792</v>
      </c>
      <c r="H475" s="53">
        <f>(H464+H469)- H473</f>
        <v>53636</v>
      </c>
      <c r="I475" s="53">
        <f>(I464+I469)- I473</f>
        <v>1085684</v>
      </c>
      <c r="J475" s="53">
        <f>(J464+J469)- J473</f>
        <v>737659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910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270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8" t="s">
        <v>909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0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6" t="s">
        <v>693</v>
      </c>
      <c r="G517" s="176" t="s">
        <v>694</v>
      </c>
      <c r="H517" s="176" t="s">
        <v>695</v>
      </c>
      <c r="I517" s="176" t="s">
        <v>696</v>
      </c>
      <c r="J517" s="176" t="s">
        <v>697</v>
      </c>
      <c r="K517" s="176" t="s">
        <v>698</v>
      </c>
      <c r="L517" s="106"/>
    </row>
    <row r="518" spans="1:13" s="52" customFormat="1" ht="12" customHeight="1" x14ac:dyDescent="0.2">
      <c r="A518" s="177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2675780</v>
      </c>
      <c r="G520" s="18">
        <v>1709011</v>
      </c>
      <c r="H520" s="18">
        <f>901+835737</f>
        <v>836638</v>
      </c>
      <c r="I520" s="18">
        <f>3537+16735</f>
        <v>20272</v>
      </c>
      <c r="J520" s="18">
        <f>3085+2042</f>
        <v>5127</v>
      </c>
      <c r="K520" s="18"/>
      <c r="L520" s="88">
        <f>SUM(F520:K520)</f>
        <v>5246828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385648</v>
      </c>
      <c r="G521" s="18">
        <v>246401</v>
      </c>
      <c r="H521" s="18">
        <f>3398+257150</f>
        <v>260548</v>
      </c>
      <c r="I521" s="18">
        <f>1088+4092</f>
        <v>5180</v>
      </c>
      <c r="J521" s="18">
        <f>949+154</f>
        <v>1103</v>
      </c>
      <c r="K521" s="18">
        <v>87</v>
      </c>
      <c r="L521" s="88">
        <f>SUM(F521:K521)</f>
        <v>898967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782982-66630</f>
        <v>716352</v>
      </c>
      <c r="G522" s="18">
        <f>500268-32125</f>
        <v>468143</v>
      </c>
      <c r="H522" s="18">
        <f>6899+514300</f>
        <v>521199</v>
      </c>
      <c r="I522" s="18">
        <f>2177+8307</f>
        <v>10484</v>
      </c>
      <c r="J522" s="18">
        <f>1899+312</f>
        <v>2211</v>
      </c>
      <c r="K522" s="18">
        <v>177</v>
      </c>
      <c r="L522" s="88">
        <f>SUM(F522:K522)</f>
        <v>1718566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3777780</v>
      </c>
      <c r="G523" s="108">
        <f t="shared" ref="G523:L523" si="36">SUM(G520:G522)</f>
        <v>2423555</v>
      </c>
      <c r="H523" s="108">
        <f t="shared" si="36"/>
        <v>1618385</v>
      </c>
      <c r="I523" s="108">
        <f t="shared" si="36"/>
        <v>35936</v>
      </c>
      <c r="J523" s="108">
        <f t="shared" si="36"/>
        <v>8441</v>
      </c>
      <c r="K523" s="108">
        <f t="shared" si="36"/>
        <v>264</v>
      </c>
      <c r="L523" s="89">
        <f t="shared" si="36"/>
        <v>7864361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402474</v>
      </c>
      <c r="G525" s="18">
        <v>170118</v>
      </c>
      <c r="H525" s="18">
        <v>4195</v>
      </c>
      <c r="I525" s="18">
        <v>716</v>
      </c>
      <c r="J525" s="18"/>
      <c r="K525" s="18">
        <v>171</v>
      </c>
      <c r="L525" s="88">
        <f>SUM(F525:K525)</f>
        <v>577674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123838</v>
      </c>
      <c r="G526" s="18">
        <v>52344</v>
      </c>
      <c r="H526" s="18">
        <v>1291</v>
      </c>
      <c r="I526" s="18">
        <v>220</v>
      </c>
      <c r="J526" s="18"/>
      <c r="K526" s="18">
        <v>53</v>
      </c>
      <c r="L526" s="88">
        <f>SUM(F526:K526)</f>
        <v>177746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314310</v>
      </c>
      <c r="G527" s="18">
        <f>32123+104688</f>
        <v>136811</v>
      </c>
      <c r="H527" s="18">
        <v>2582</v>
      </c>
      <c r="I527" s="18">
        <v>441</v>
      </c>
      <c r="J527" s="18"/>
      <c r="K527" s="18">
        <v>106</v>
      </c>
      <c r="L527" s="88">
        <f>SUM(F527:K527)</f>
        <v>454250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840622</v>
      </c>
      <c r="G528" s="89">
        <f t="shared" ref="G528:L528" si="37">SUM(G525:G527)</f>
        <v>359273</v>
      </c>
      <c r="H528" s="89">
        <f t="shared" si="37"/>
        <v>8068</v>
      </c>
      <c r="I528" s="89">
        <f t="shared" si="37"/>
        <v>1377</v>
      </c>
      <c r="J528" s="89">
        <f t="shared" si="37"/>
        <v>0</v>
      </c>
      <c r="K528" s="89">
        <f t="shared" si="37"/>
        <v>330</v>
      </c>
      <c r="L528" s="89">
        <f t="shared" si="37"/>
        <v>1209670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144701</v>
      </c>
      <c r="G530" s="18">
        <v>50852</v>
      </c>
      <c r="H530" s="18">
        <v>6005</v>
      </c>
      <c r="I530" s="18">
        <v>719</v>
      </c>
      <c r="J530" s="18"/>
      <c r="K530" s="18">
        <v>473</v>
      </c>
      <c r="L530" s="88">
        <f>SUM(F530:K530)</f>
        <v>202750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44524</v>
      </c>
      <c r="G531" s="18">
        <v>15647</v>
      </c>
      <c r="H531" s="18">
        <v>1848</v>
      </c>
      <c r="I531" s="18">
        <v>221</v>
      </c>
      <c r="J531" s="18"/>
      <c r="K531" s="18">
        <v>145</v>
      </c>
      <c r="L531" s="88">
        <f>SUM(F531:K531)</f>
        <v>62385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89047</v>
      </c>
      <c r="G532" s="18">
        <v>31294</v>
      </c>
      <c r="H532" s="18">
        <v>3696</v>
      </c>
      <c r="I532" s="18">
        <v>443</v>
      </c>
      <c r="J532" s="18"/>
      <c r="K532" s="18">
        <v>291</v>
      </c>
      <c r="L532" s="88">
        <f>SUM(F532:K532)</f>
        <v>124771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278272</v>
      </c>
      <c r="G533" s="89">
        <f t="shared" ref="G533:L533" si="38">SUM(G530:G532)</f>
        <v>97793</v>
      </c>
      <c r="H533" s="89">
        <f t="shared" si="38"/>
        <v>11549</v>
      </c>
      <c r="I533" s="89">
        <f t="shared" si="38"/>
        <v>1383</v>
      </c>
      <c r="J533" s="89">
        <f t="shared" si="38"/>
        <v>0</v>
      </c>
      <c r="K533" s="89">
        <f t="shared" si="38"/>
        <v>909</v>
      </c>
      <c r="L533" s="89">
        <f t="shared" si="38"/>
        <v>389906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71</v>
      </c>
      <c r="I535" s="18"/>
      <c r="J535" s="18"/>
      <c r="K535" s="18"/>
      <c r="L535" s="88">
        <f>SUM(F535:K535)</f>
        <v>71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21</v>
      </c>
      <c r="I536" s="18"/>
      <c r="J536" s="18"/>
      <c r="K536" s="18"/>
      <c r="L536" s="88">
        <f>SUM(F536:K536)</f>
        <v>21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44</v>
      </c>
      <c r="I537" s="18"/>
      <c r="J537" s="18"/>
      <c r="K537" s="18"/>
      <c r="L537" s="88">
        <f>SUM(F537:K537)</f>
        <v>44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136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136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434673</v>
      </c>
      <c r="I540" s="18"/>
      <c r="J540" s="18"/>
      <c r="K540" s="18"/>
      <c r="L540" s="88">
        <f>SUM(F540:K540)</f>
        <v>434673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133746</v>
      </c>
      <c r="I541" s="18"/>
      <c r="J541" s="18"/>
      <c r="K541" s="18"/>
      <c r="L541" s="88">
        <f>SUM(F541:K541)</f>
        <v>133746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267491</v>
      </c>
      <c r="I542" s="18"/>
      <c r="J542" s="18"/>
      <c r="K542" s="18"/>
      <c r="L542" s="88">
        <f>SUM(F542:K542)</f>
        <v>267491</v>
      </c>
      <c r="M542" s="8"/>
    </row>
    <row r="543" spans="1:13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835910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835910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4896674</v>
      </c>
      <c r="G544" s="89">
        <f t="shared" ref="G544:L544" si="41">G523+G528+G533+G538+G543</f>
        <v>2880621</v>
      </c>
      <c r="H544" s="89">
        <f t="shared" si="41"/>
        <v>2474048</v>
      </c>
      <c r="I544" s="89">
        <f t="shared" si="41"/>
        <v>38696</v>
      </c>
      <c r="J544" s="89">
        <f t="shared" si="41"/>
        <v>8441</v>
      </c>
      <c r="K544" s="89">
        <f t="shared" si="41"/>
        <v>1503</v>
      </c>
      <c r="L544" s="89">
        <f t="shared" si="41"/>
        <v>10299983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5246828</v>
      </c>
      <c r="G548" s="87">
        <f>L525</f>
        <v>577674</v>
      </c>
      <c r="H548" s="87">
        <f>L530</f>
        <v>202750</v>
      </c>
      <c r="I548" s="87">
        <f>L535</f>
        <v>71</v>
      </c>
      <c r="J548" s="87">
        <f>L540</f>
        <v>434673</v>
      </c>
      <c r="K548" s="87">
        <f>SUM(F548:J548)</f>
        <v>6461996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898967</v>
      </c>
      <c r="G549" s="87">
        <f>L526</f>
        <v>177746</v>
      </c>
      <c r="H549" s="87">
        <f>L531</f>
        <v>62385</v>
      </c>
      <c r="I549" s="87">
        <f>L536</f>
        <v>21</v>
      </c>
      <c r="J549" s="87">
        <f>L541</f>
        <v>133746</v>
      </c>
      <c r="K549" s="87">
        <f>SUM(F549:J549)</f>
        <v>1272865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1718566</v>
      </c>
      <c r="G550" s="87">
        <f>L527</f>
        <v>454250</v>
      </c>
      <c r="H550" s="87">
        <f>L532</f>
        <v>124771</v>
      </c>
      <c r="I550" s="87">
        <f>L537</f>
        <v>44</v>
      </c>
      <c r="J550" s="87">
        <f>L542</f>
        <v>267491</v>
      </c>
      <c r="K550" s="87">
        <f>SUM(F550:J550)</f>
        <v>2565122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7864361</v>
      </c>
      <c r="G551" s="89">
        <f t="shared" si="42"/>
        <v>1209670</v>
      </c>
      <c r="H551" s="89">
        <f t="shared" si="42"/>
        <v>389906</v>
      </c>
      <c r="I551" s="89">
        <f t="shared" si="42"/>
        <v>136</v>
      </c>
      <c r="J551" s="89">
        <f t="shared" si="42"/>
        <v>835910</v>
      </c>
      <c r="K551" s="89">
        <f t="shared" si="42"/>
        <v>10299983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6" t="s">
        <v>693</v>
      </c>
      <c r="G553" s="176" t="s">
        <v>694</v>
      </c>
      <c r="H553" s="176" t="s">
        <v>695</v>
      </c>
      <c r="I553" s="176" t="s">
        <v>696</v>
      </c>
      <c r="J553" s="176" t="s">
        <v>697</v>
      </c>
      <c r="K553" s="176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26312</v>
      </c>
      <c r="G561" s="18">
        <v>15724</v>
      </c>
      <c r="H561" s="18"/>
      <c r="I561" s="18"/>
      <c r="J561" s="18"/>
      <c r="K561" s="18"/>
      <c r="L561" s="88">
        <f>SUM(F561:K561)</f>
        <v>42036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8096</v>
      </c>
      <c r="G562" s="18">
        <v>4838</v>
      </c>
      <c r="H562" s="18"/>
      <c r="I562" s="18"/>
      <c r="J562" s="18"/>
      <c r="K562" s="18"/>
      <c r="L562" s="88">
        <f>SUM(F562:K562)</f>
        <v>12934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16192</v>
      </c>
      <c r="G563" s="18">
        <v>9676</v>
      </c>
      <c r="H563" s="18"/>
      <c r="I563" s="18"/>
      <c r="J563" s="18"/>
      <c r="K563" s="18"/>
      <c r="L563" s="88">
        <f>SUM(F563:K563)</f>
        <v>25868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50600</v>
      </c>
      <c r="G564" s="89">
        <f t="shared" si="44"/>
        <v>30238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80838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50600</v>
      </c>
      <c r="G570" s="89">
        <f t="shared" ref="G570:L570" si="46">G559+G564+G569</f>
        <v>30238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80838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1237</v>
      </c>
      <c r="I574" s="87">
        <f>SUM(F574:H574)</f>
        <v>1237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2454</v>
      </c>
      <c r="G578" s="18">
        <v>755</v>
      </c>
      <c r="H578" s="18">
        <v>1510</v>
      </c>
      <c r="I578" s="87">
        <f t="shared" si="47"/>
        <v>4719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646816</v>
      </c>
      <c r="G581" s="18">
        <v>199020</v>
      </c>
      <c r="H581" s="18">
        <v>398041</v>
      </c>
      <c r="I581" s="87">
        <f t="shared" si="47"/>
        <v>1243877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51427</v>
      </c>
      <c r="I583" s="87">
        <f t="shared" si="47"/>
        <v>51427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605213</v>
      </c>
      <c r="I590" s="18">
        <v>186220</v>
      </c>
      <c r="J590" s="18">
        <v>372439</v>
      </c>
      <c r="K590" s="104">
        <f t="shared" ref="K590:K596" si="48">SUM(H590:J590)</f>
        <v>1163872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434673</v>
      </c>
      <c r="I591" s="18">
        <v>133746</v>
      </c>
      <c r="J591" s="18">
        <v>267491</v>
      </c>
      <c r="K591" s="104">
        <f t="shared" si="48"/>
        <v>835910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28589</v>
      </c>
      <c r="K592" s="104">
        <f t="shared" si="48"/>
        <v>28589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32214</v>
      </c>
      <c r="J593" s="18">
        <v>65407</v>
      </c>
      <c r="K593" s="104">
        <f t="shared" si="48"/>
        <v>97621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4328</v>
      </c>
      <c r="I594" s="18">
        <v>1332</v>
      </c>
      <c r="J594" s="18">
        <v>2664</v>
      </c>
      <c r="K594" s="104">
        <f t="shared" si="48"/>
        <v>8324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11316</v>
      </c>
      <c r="I596" s="18">
        <v>3482</v>
      </c>
      <c r="J596" s="18">
        <v>6964</v>
      </c>
      <c r="K596" s="104">
        <f t="shared" si="48"/>
        <v>21762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1055530</v>
      </c>
      <c r="I597" s="108">
        <f>SUM(I590:I596)</f>
        <v>356994</v>
      </c>
      <c r="J597" s="108">
        <f>SUM(J590:J596)</f>
        <v>743554</v>
      </c>
      <c r="K597" s="108">
        <f>SUM(K590:K596)</f>
        <v>2156078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286060</v>
      </c>
      <c r="I603" s="18">
        <v>93421</v>
      </c>
      <c r="J603" s="18">
        <v>187586</v>
      </c>
      <c r="K603" s="104">
        <f>SUM(H603:J603)</f>
        <v>567067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286060</v>
      </c>
      <c r="I604" s="108">
        <f>SUM(I601:I603)</f>
        <v>93421</v>
      </c>
      <c r="J604" s="108">
        <f>SUM(J601:J603)</f>
        <v>187586</v>
      </c>
      <c r="K604" s="108">
        <f>SUM(K601:K603)</f>
        <v>567067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6" t="s">
        <v>693</v>
      </c>
      <c r="G608" s="176" t="s">
        <v>694</v>
      </c>
      <c r="H608" s="176" t="s">
        <v>695</v>
      </c>
      <c r="I608" s="176" t="s">
        <v>696</v>
      </c>
      <c r="J608" s="176" t="s">
        <v>697</v>
      </c>
      <c r="K608" s="176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f>9645+864+864+5435+14298</f>
        <v>31106</v>
      </c>
      <c r="G610" s="18">
        <f>1244</f>
        <v>1244</v>
      </c>
      <c r="H610" s="18">
        <v>1144</v>
      </c>
      <c r="I610" s="18"/>
      <c r="J610" s="18"/>
      <c r="K610" s="18"/>
      <c r="L610" s="88">
        <f>SUM(F610:K610)</f>
        <v>33494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3199+1672+363</f>
        <v>5234</v>
      </c>
      <c r="G611" s="18">
        <f>880</f>
        <v>880</v>
      </c>
      <c r="H611" s="18">
        <v>352</v>
      </c>
      <c r="I611" s="18"/>
      <c r="J611" s="18"/>
      <c r="K611" s="18"/>
      <c r="L611" s="88">
        <f>SUM(F611:K611)</f>
        <v>6466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3345+737+6497</f>
        <v>10579</v>
      </c>
      <c r="G612" s="18">
        <f>1779</f>
        <v>1779</v>
      </c>
      <c r="H612" s="18">
        <v>704</v>
      </c>
      <c r="I612" s="18"/>
      <c r="J612" s="18"/>
      <c r="K612" s="18"/>
      <c r="L612" s="88">
        <f>SUM(F612:K612)</f>
        <v>13062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46919</v>
      </c>
      <c r="G613" s="108">
        <f t="shared" si="49"/>
        <v>3903</v>
      </c>
      <c r="H613" s="108">
        <f t="shared" si="49"/>
        <v>2200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53022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3060506</v>
      </c>
      <c r="H616" s="109">
        <f>SUM(F51)</f>
        <v>3060506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146217</v>
      </c>
      <c r="H617" s="109">
        <f>SUM(G51)</f>
        <v>146217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902712</v>
      </c>
      <c r="H618" s="109">
        <f>SUM(H51)</f>
        <v>902712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1400154</v>
      </c>
      <c r="H619" s="109">
        <f>SUM(I51)</f>
        <v>1400154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737659</v>
      </c>
      <c r="H620" s="109">
        <f>SUM(J51)</f>
        <v>737659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1762577</v>
      </c>
      <c r="H621" s="109">
        <f>F475</f>
        <v>1762577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120792</v>
      </c>
      <c r="H622" s="109">
        <f>G475</f>
        <v>120792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53636</v>
      </c>
      <c r="H623" s="109">
        <f>H475</f>
        <v>53636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1085684</v>
      </c>
      <c r="H624" s="109">
        <f>I475</f>
        <v>1085684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737659</v>
      </c>
      <c r="H625" s="109">
        <f>J475</f>
        <v>737659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33922189</v>
      </c>
      <c r="H626" s="104">
        <f>SUM(F467)</f>
        <v>33922189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1066023</v>
      </c>
      <c r="H627" s="104">
        <f>SUM(G467)</f>
        <v>1066023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1507785</v>
      </c>
      <c r="H628" s="104">
        <f>SUM(H467)</f>
        <v>1507785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1991941</v>
      </c>
      <c r="H629" s="104">
        <f>SUM(I467)</f>
        <v>1991941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51931</v>
      </c>
      <c r="H630" s="104">
        <f>SUM(J467)</f>
        <v>51931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32884294</v>
      </c>
      <c r="H631" s="104">
        <f>SUM(F471)</f>
        <v>32884294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1590196</v>
      </c>
      <c r="H632" s="104">
        <f>SUM(H471)</f>
        <v>1590196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493577</v>
      </c>
      <c r="H633" s="104">
        <f>I368</f>
        <v>493577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1003245</v>
      </c>
      <c r="H634" s="104">
        <f>SUM(G471)</f>
        <v>1003245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1355729</v>
      </c>
      <c r="H635" s="104">
        <f>SUM(I471)</f>
        <v>1355729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51931</v>
      </c>
      <c r="H636" s="164">
        <f>SUM(J467)</f>
        <v>51931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500000</v>
      </c>
      <c r="H637" s="164">
        <f>SUM(J471)</f>
        <v>500000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401404</v>
      </c>
      <c r="H638" s="104">
        <f>SUM(F460)</f>
        <v>401404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336255</v>
      </c>
      <c r="H639" s="104">
        <f>SUM(G460)</f>
        <v>336255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737659</v>
      </c>
      <c r="H641" s="104">
        <f>SUM(I460)</f>
        <v>737659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1931</v>
      </c>
      <c r="H643" s="104">
        <f>H407</f>
        <v>1931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51931</v>
      </c>
      <c r="H645" s="104">
        <f>L407</f>
        <v>51931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2156078</v>
      </c>
      <c r="H646" s="104">
        <f>L207+L225+L243</f>
        <v>2156078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567067</v>
      </c>
      <c r="H647" s="104">
        <f>(J256+J337)-(J254+J335)</f>
        <v>567067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1055530</v>
      </c>
      <c r="H648" s="104">
        <f>H597</f>
        <v>1055530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356994</v>
      </c>
      <c r="H649" s="104">
        <f>I597</f>
        <v>356994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743554</v>
      </c>
      <c r="H650" s="104">
        <f>J597</f>
        <v>743554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1094737</v>
      </c>
      <c r="H653" s="104">
        <f>K264+K345</f>
        <v>1094737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19078881</v>
      </c>
      <c r="G659" s="19">
        <f>(L228+L308+L358)</f>
        <v>4937627</v>
      </c>
      <c r="H659" s="19">
        <f>(L246+L327+L359)</f>
        <v>10306878</v>
      </c>
      <c r="I659" s="19">
        <f>SUM(F659:H659)</f>
        <v>34323386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286879.85732298688</v>
      </c>
      <c r="G660" s="19">
        <f>(L358/IF(SUM(L357:L359)=0,1,SUM(L357:L359))*(SUM(G96:G109)))</f>
        <v>91628.936660536565</v>
      </c>
      <c r="H660" s="19">
        <f>(L359/IF(SUM(L357:L359)=0,1,SUM(L357:L359))*(SUM(G96:G109)))</f>
        <v>194169.20601647653</v>
      </c>
      <c r="I660" s="19">
        <f>SUM(F660:H660)</f>
        <v>572678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1055530</v>
      </c>
      <c r="G661" s="19">
        <f>(L225+L305)-(J225+J305)</f>
        <v>356994</v>
      </c>
      <c r="H661" s="19">
        <f>(L243+L324)-(J243+J324)</f>
        <v>743554</v>
      </c>
      <c r="I661" s="19">
        <f>SUM(F661:H661)</f>
        <v>2156078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968824</v>
      </c>
      <c r="G662" s="199">
        <f>SUM(G574:G586)+SUM(I601:I603)+L611</f>
        <v>299662</v>
      </c>
      <c r="H662" s="199">
        <f>SUM(H574:H586)+SUM(J601:J603)+L612</f>
        <v>652863</v>
      </c>
      <c r="I662" s="19">
        <f>SUM(F662:H662)</f>
        <v>1921349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16767647.142677013</v>
      </c>
      <c r="G663" s="19">
        <f>G659-SUM(G660:G662)</f>
        <v>4189342.0633394634</v>
      </c>
      <c r="H663" s="19">
        <f>H659-SUM(H660:H662)</f>
        <v>8716291.7939835228</v>
      </c>
      <c r="I663" s="19">
        <f>I659-SUM(I660:I662)</f>
        <v>29673281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990.4</v>
      </c>
      <c r="G664" s="248">
        <v>285.77</v>
      </c>
      <c r="H664" s="248">
        <v>569.87</v>
      </c>
      <c r="I664" s="19">
        <f>SUM(F664:H664)</f>
        <v>1846.04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16930.18</v>
      </c>
      <c r="G666" s="19">
        <f>ROUND(G663/G664,2)</f>
        <v>14659.84</v>
      </c>
      <c r="H666" s="19">
        <f>ROUND(H663/H664,2)</f>
        <v>15295.23</v>
      </c>
      <c r="I666" s="19">
        <f>ROUND(I663/I664,2)</f>
        <v>16074.02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-15.55</v>
      </c>
      <c r="I669" s="19">
        <f>SUM(F669:H669)</f>
        <v>-15.55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16930.18</v>
      </c>
      <c r="G671" s="19">
        <f>ROUND((G663+G668)/(G664+G669),2)</f>
        <v>14659.84</v>
      </c>
      <c r="H671" s="19">
        <f>ROUND((H663+H668)/(H664+H669),2)</f>
        <v>15724.3</v>
      </c>
      <c r="I671" s="19">
        <f>ROUND((I663+I668)/(I664+I669),2)</f>
        <v>16210.57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Monadnock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4" t="s">
        <v>784</v>
      </c>
      <c r="B3" s="274"/>
      <c r="C3" s="274"/>
    </row>
    <row r="4" spans="1:3" x14ac:dyDescent="0.2">
      <c r="A4" s="236"/>
      <c r="B4" s="237" t="str">
        <f>'DOE25'!H1</f>
        <v>DOE 25  2011-2012</v>
      </c>
      <c r="C4" s="236"/>
    </row>
    <row r="5" spans="1:3" x14ac:dyDescent="0.2">
      <c r="A5" s="233"/>
      <c r="B5" s="232"/>
    </row>
    <row r="6" spans="1:3" x14ac:dyDescent="0.2">
      <c r="A6" s="227"/>
      <c r="B6" s="273" t="s">
        <v>783</v>
      </c>
      <c r="C6" s="273"/>
    </row>
    <row r="7" spans="1:3" x14ac:dyDescent="0.2">
      <c r="A7" s="239" t="s">
        <v>786</v>
      </c>
      <c r="B7" s="271" t="s">
        <v>782</v>
      </c>
      <c r="C7" s="272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8075822</v>
      </c>
      <c r="C9" s="229">
        <f>'DOE25'!G196+'DOE25'!G214+'DOE25'!G232+'DOE25'!G275+'DOE25'!G294+'DOE25'!G313</f>
        <v>3373930</v>
      </c>
    </row>
    <row r="10" spans="1:3" x14ac:dyDescent="0.2">
      <c r="A10" t="s">
        <v>779</v>
      </c>
      <c r="B10" s="240">
        <v>7796885</v>
      </c>
      <c r="C10" s="240">
        <v>3294057</v>
      </c>
    </row>
    <row r="11" spans="1:3" x14ac:dyDescent="0.2">
      <c r="A11" t="s">
        <v>780</v>
      </c>
      <c r="B11" s="240">
        <v>43460</v>
      </c>
      <c r="C11" s="240">
        <v>61858</v>
      </c>
    </row>
    <row r="12" spans="1:3" x14ac:dyDescent="0.2">
      <c r="A12" t="s">
        <v>781</v>
      </c>
      <c r="B12" s="240">
        <v>235477</v>
      </c>
      <c r="C12" s="240">
        <v>18015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8075822</v>
      </c>
      <c r="C13" s="231">
        <f>SUM(C10:C12)</f>
        <v>3373930</v>
      </c>
    </row>
    <row r="14" spans="1:3" x14ac:dyDescent="0.2">
      <c r="B14" s="230"/>
      <c r="C14" s="230"/>
    </row>
    <row r="15" spans="1:3" x14ac:dyDescent="0.2">
      <c r="B15" s="273" t="s">
        <v>783</v>
      </c>
      <c r="C15" s="273"/>
    </row>
    <row r="16" spans="1:3" x14ac:dyDescent="0.2">
      <c r="A16" s="239" t="s">
        <v>787</v>
      </c>
      <c r="B16" s="271" t="s">
        <v>707</v>
      </c>
      <c r="C16" s="272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4361446</v>
      </c>
      <c r="C18" s="229">
        <f>'DOE25'!G197+'DOE25'!G215+'DOE25'!G233+'DOE25'!G276+'DOE25'!G295+'DOE25'!G314</f>
        <v>2639477</v>
      </c>
    </row>
    <row r="19" spans="1:3" x14ac:dyDescent="0.2">
      <c r="A19" t="s">
        <v>779</v>
      </c>
      <c r="B19" s="240">
        <v>2309269</v>
      </c>
      <c r="C19" s="240">
        <v>858967</v>
      </c>
    </row>
    <row r="20" spans="1:3" x14ac:dyDescent="0.2">
      <c r="A20" t="s">
        <v>780</v>
      </c>
      <c r="B20" s="240">
        <v>1940555</v>
      </c>
      <c r="C20" s="240">
        <v>1771951</v>
      </c>
    </row>
    <row r="21" spans="1:3" x14ac:dyDescent="0.2">
      <c r="A21" t="s">
        <v>781</v>
      </c>
      <c r="B21" s="240">
        <v>111622</v>
      </c>
      <c r="C21" s="240">
        <v>8559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4361446</v>
      </c>
      <c r="C22" s="231">
        <f>SUM(C19:C21)</f>
        <v>2639477</v>
      </c>
    </row>
    <row r="23" spans="1:3" x14ac:dyDescent="0.2">
      <c r="B23" s="230"/>
      <c r="C23" s="230"/>
    </row>
    <row r="24" spans="1:3" x14ac:dyDescent="0.2">
      <c r="B24" s="273" t="s">
        <v>783</v>
      </c>
      <c r="C24" s="273"/>
    </row>
    <row r="25" spans="1:3" x14ac:dyDescent="0.2">
      <c r="A25" s="239" t="s">
        <v>788</v>
      </c>
      <c r="B25" s="271" t="s">
        <v>708</v>
      </c>
      <c r="C25" s="272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39" t="s">
        <v>789</v>
      </c>
      <c r="B34" s="271" t="s">
        <v>709</v>
      </c>
      <c r="C34" s="272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170454</v>
      </c>
      <c r="C36" s="235">
        <f>'DOE25'!G199+'DOE25'!G217+'DOE25'!G235+'DOE25'!G278+'DOE25'!G297+'DOE25'!G316</f>
        <v>17883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170454</v>
      </c>
      <c r="C39" s="240">
        <v>17883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170454</v>
      </c>
      <c r="C40" s="231">
        <f>SUM(C37:C39)</f>
        <v>17883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0"/>
    </row>
    <row r="2" spans="1:9" x14ac:dyDescent="0.2">
      <c r="A2" s="33" t="s">
        <v>717</v>
      </c>
      <c r="B2" s="265" t="str">
        <f>'DOE25'!A2</f>
        <v>Monadnock Regional School District</v>
      </c>
      <c r="C2" s="180"/>
      <c r="D2" s="180" t="s">
        <v>792</v>
      </c>
      <c r="E2" s="180" t="s">
        <v>794</v>
      </c>
      <c r="F2" s="275" t="s">
        <v>821</v>
      </c>
      <c r="G2" s="276"/>
      <c r="H2" s="277"/>
      <c r="I2" s="180"/>
    </row>
    <row r="3" spans="1:9" x14ac:dyDescent="0.2">
      <c r="A3" s="180" t="s">
        <v>94</v>
      </c>
      <c r="B3" s="228" t="s">
        <v>10</v>
      </c>
      <c r="C3" s="180" t="s">
        <v>5</v>
      </c>
      <c r="D3" s="180" t="s">
        <v>793</v>
      </c>
      <c r="E3" s="180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20599953</v>
      </c>
      <c r="D5" s="20">
        <f>SUM('DOE25'!L196:L199)+SUM('DOE25'!L214:L217)+SUM('DOE25'!L232:L235)-F5-G5</f>
        <v>20271778</v>
      </c>
      <c r="E5" s="243"/>
      <c r="F5" s="255">
        <f>SUM('DOE25'!J196:J199)+SUM('DOE25'!J214:J217)+SUM('DOE25'!J232:J235)</f>
        <v>305168</v>
      </c>
      <c r="G5" s="53">
        <f>SUM('DOE25'!K196:K199)+SUM('DOE25'!K214:K217)+SUM('DOE25'!K232:K235)</f>
        <v>23007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2196959</v>
      </c>
      <c r="D6" s="20">
        <f>'DOE25'!L201+'DOE25'!L219+'DOE25'!L237-F6-G6</f>
        <v>2187104</v>
      </c>
      <c r="E6" s="243"/>
      <c r="F6" s="255">
        <f>'DOE25'!J201+'DOE25'!J219+'DOE25'!J237</f>
        <v>3596</v>
      </c>
      <c r="G6" s="53">
        <f>'DOE25'!K201+'DOE25'!K219+'DOE25'!K237</f>
        <v>6259</v>
      </c>
      <c r="H6" s="259"/>
    </row>
    <row r="7" spans="1:9" x14ac:dyDescent="0.2">
      <c r="A7" s="32">
        <v>2200</v>
      </c>
      <c r="B7" t="s">
        <v>834</v>
      </c>
      <c r="C7" s="245">
        <f t="shared" si="0"/>
        <v>745611</v>
      </c>
      <c r="D7" s="20">
        <f>'DOE25'!L202+'DOE25'!L220+'DOE25'!L238-F7-G7</f>
        <v>740866</v>
      </c>
      <c r="E7" s="243"/>
      <c r="F7" s="255">
        <f>'DOE25'!J202+'DOE25'!J220+'DOE25'!J238</f>
        <v>3474</v>
      </c>
      <c r="G7" s="53">
        <f>'DOE25'!K202+'DOE25'!K220+'DOE25'!K238</f>
        <v>1271</v>
      </c>
      <c r="H7" s="259"/>
    </row>
    <row r="8" spans="1:9" x14ac:dyDescent="0.2">
      <c r="A8" s="32">
        <v>2300</v>
      </c>
      <c r="B8" t="s">
        <v>802</v>
      </c>
      <c r="C8" s="245">
        <f t="shared" si="0"/>
        <v>-91968</v>
      </c>
      <c r="D8" s="243"/>
      <c r="E8" s="20">
        <f>'DOE25'!L203+'DOE25'!L221+'DOE25'!L239-F8-G8-D9-D11</f>
        <v>-101484</v>
      </c>
      <c r="F8" s="255">
        <f>'DOE25'!J203+'DOE25'!J221+'DOE25'!J239</f>
        <v>9516</v>
      </c>
      <c r="G8" s="53">
        <f>'DOE25'!K203+'DOE25'!K221+'DOE25'!K239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186501</v>
      </c>
      <c r="D9" s="244">
        <v>186501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24605</v>
      </c>
      <c r="D10" s="243"/>
      <c r="E10" s="244">
        <v>24605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387281</v>
      </c>
      <c r="D11" s="244">
        <v>387281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1653531</v>
      </c>
      <c r="D12" s="20">
        <f>'DOE25'!L204+'DOE25'!L222+'DOE25'!L240-F12-G12</f>
        <v>1638716</v>
      </c>
      <c r="E12" s="243"/>
      <c r="F12" s="255">
        <f>'DOE25'!J204+'DOE25'!J222+'DOE25'!J240</f>
        <v>8849</v>
      </c>
      <c r="G12" s="53">
        <f>'DOE25'!K204+'DOE25'!K222+'DOE25'!K240</f>
        <v>5966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702680</v>
      </c>
      <c r="D13" s="243"/>
      <c r="E13" s="20">
        <f>'DOE25'!L205+'DOE25'!L223+'DOE25'!L241-F13-G13</f>
        <v>685995</v>
      </c>
      <c r="F13" s="255">
        <f>'DOE25'!J205+'DOE25'!J223+'DOE25'!J241</f>
        <v>15477</v>
      </c>
      <c r="G13" s="53">
        <f>'DOE25'!K205+'DOE25'!K223+'DOE25'!K241</f>
        <v>1208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2618192</v>
      </c>
      <c r="D14" s="20">
        <f>'DOE25'!L206+'DOE25'!L224+'DOE25'!L242-F14-G14</f>
        <v>2545980</v>
      </c>
      <c r="E14" s="243"/>
      <c r="F14" s="255">
        <f>'DOE25'!J206+'DOE25'!J224+'DOE25'!J242</f>
        <v>71644</v>
      </c>
      <c r="G14" s="53">
        <f>'DOE25'!K206+'DOE25'!K224+'DOE25'!K242</f>
        <v>568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2156078</v>
      </c>
      <c r="D15" s="20">
        <f>'DOE25'!L207+'DOE25'!L225+'DOE25'!L243-F15-G15</f>
        <v>2156078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579639</v>
      </c>
      <c r="D16" s="243"/>
      <c r="E16" s="20">
        <f>'DOE25'!L208+'DOE25'!L226+'DOE25'!L244-F16-G16</f>
        <v>579639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5100</v>
      </c>
      <c r="D22" s="243"/>
      <c r="E22" s="243"/>
      <c r="F22" s="255">
        <f>'DOE25'!L254+'DOE25'!L335</f>
        <v>5100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556229</v>
      </c>
      <c r="D29" s="20">
        <f>'DOE25'!L357+'DOE25'!L358+'DOE25'!L359-'DOE25'!I366-F29-G29</f>
        <v>552836</v>
      </c>
      <c r="E29" s="243"/>
      <c r="F29" s="255">
        <f>'DOE25'!J357+'DOE25'!J358+'DOE25'!J359</f>
        <v>3017</v>
      </c>
      <c r="G29" s="53">
        <f>'DOE25'!K357+'DOE25'!K358+'DOE25'!K359</f>
        <v>376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1585684</v>
      </c>
      <c r="D31" s="20">
        <f>'DOE25'!L289+'DOE25'!L308+'DOE25'!L327+'DOE25'!L332+'DOE25'!L333+'DOE25'!L334-F31-G31</f>
        <v>1416263</v>
      </c>
      <c r="E31" s="243"/>
      <c r="F31" s="255">
        <f>'DOE25'!J289+'DOE25'!J308+'DOE25'!J327+'DOE25'!J332+'DOE25'!J333+'DOE25'!J334</f>
        <v>149343</v>
      </c>
      <c r="G31" s="53">
        <f>'DOE25'!K289+'DOE25'!K308+'DOE25'!K327+'DOE25'!K332+'DOE25'!K333+'DOE25'!K334</f>
        <v>20078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32083403</v>
      </c>
      <c r="E33" s="246">
        <f>SUM(E5:E31)</f>
        <v>1188755</v>
      </c>
      <c r="F33" s="246">
        <f>SUM(F5:F31)</f>
        <v>575184</v>
      </c>
      <c r="G33" s="246">
        <f>SUM(G5:G31)</f>
        <v>58733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1188755</v>
      </c>
      <c r="E35" s="249"/>
    </row>
    <row r="36" spans="2:8" ht="12" thickTop="1" x14ac:dyDescent="0.2">
      <c r="B36" t="s">
        <v>815</v>
      </c>
      <c r="D36" s="20">
        <f>D33</f>
        <v>32083403</v>
      </c>
    </row>
    <row r="38" spans="2:8" x14ac:dyDescent="0.2">
      <c r="B38" s="186" t="s">
        <v>859</v>
      </c>
      <c r="C38" s="266"/>
      <c r="D38" s="267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2316806</v>
      </c>
      <c r="D8" s="95">
        <f>'DOE25'!G9</f>
        <v>595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684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722765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48273</v>
      </c>
      <c r="E11" s="95">
        <f>'DOE25'!H12</f>
        <v>0</v>
      </c>
      <c r="F11" s="95">
        <f>'DOE25'!I12</f>
        <v>1002950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7970</v>
      </c>
      <c r="D12" s="95">
        <f>'DOE25'!G13</f>
        <v>41349</v>
      </c>
      <c r="E12" s="95">
        <f>'DOE25'!H13</f>
        <v>902712</v>
      </c>
      <c r="F12" s="95">
        <f>'DOE25'!I13</f>
        <v>0</v>
      </c>
      <c r="G12" s="95">
        <f>'DOE25'!J13</f>
        <v>737659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12281</v>
      </c>
      <c r="D13" s="95">
        <f>'DOE25'!G14</f>
        <v>56000</v>
      </c>
      <c r="E13" s="95">
        <f>'DOE25'!H14</f>
        <v>0</v>
      </c>
      <c r="F13" s="95">
        <f>'DOE25'!I14</f>
        <v>397204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3060506</v>
      </c>
      <c r="D18" s="41">
        <f>SUM(D8:D17)</f>
        <v>146217</v>
      </c>
      <c r="E18" s="41">
        <f>SUM(E8:E17)</f>
        <v>902712</v>
      </c>
      <c r="F18" s="41">
        <f>SUM(F8:F17)</f>
        <v>1400154</v>
      </c>
      <c r="G18" s="41">
        <f>SUM(G8:G17)</f>
        <v>737659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354763</v>
      </c>
      <c r="D21" s="95">
        <f>'DOE25'!G22</f>
        <v>0</v>
      </c>
      <c r="E21" s="95">
        <f>'DOE25'!H22</f>
        <v>732758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48273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434549</v>
      </c>
      <c r="D23" s="95">
        <f>'DOE25'!G24</f>
        <v>25425</v>
      </c>
      <c r="E23" s="95">
        <f>'DOE25'!H24</f>
        <v>116318</v>
      </c>
      <c r="F23" s="95">
        <f>'DOE25'!I24</f>
        <v>314470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460344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1297929</v>
      </c>
      <c r="D31" s="41">
        <f>SUM(D21:D30)</f>
        <v>25425</v>
      </c>
      <c r="E31" s="41">
        <f>SUM(E21:E30)</f>
        <v>849076</v>
      </c>
      <c r="F31" s="41">
        <f>SUM(F21:F30)</f>
        <v>314470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120792</v>
      </c>
      <c r="E42" s="95">
        <f>'DOE25'!H43</f>
        <v>53636</v>
      </c>
      <c r="F42" s="95">
        <f>'DOE25'!I43</f>
        <v>0</v>
      </c>
      <c r="G42" s="95">
        <f>'DOE25'!J43</f>
        <v>401404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1085684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336255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1762577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1762577</v>
      </c>
      <c r="D49" s="41">
        <f>SUM(D34:D48)</f>
        <v>120792</v>
      </c>
      <c r="E49" s="41">
        <f>SUM(E34:E48)</f>
        <v>53636</v>
      </c>
      <c r="F49" s="41">
        <f>SUM(F34:F48)</f>
        <v>1085684</v>
      </c>
      <c r="G49" s="41">
        <f>SUM(G34:G48)</f>
        <v>737659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3060506</v>
      </c>
      <c r="D50" s="41">
        <f>D49+D31</f>
        <v>146217</v>
      </c>
      <c r="E50" s="41">
        <f>E49+E31</f>
        <v>902712</v>
      </c>
      <c r="F50" s="41">
        <f>F49+F31</f>
        <v>1400154</v>
      </c>
      <c r="G50" s="41">
        <f>G49+G31</f>
        <v>737659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18650815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100623</v>
      </c>
      <c r="D56" s="24" t="s">
        <v>289</v>
      </c>
      <c r="E56" s="95">
        <f>'DOE25'!H78</f>
        <v>37385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994</v>
      </c>
      <c r="D58" s="95">
        <f>'DOE25'!G95</f>
        <v>21</v>
      </c>
      <c r="E58" s="95">
        <f>'DOE25'!H95</f>
        <v>0</v>
      </c>
      <c r="F58" s="95">
        <f>'DOE25'!I95</f>
        <v>0</v>
      </c>
      <c r="G58" s="95">
        <f>'DOE25'!J95</f>
        <v>1931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572678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127545</v>
      </c>
      <c r="D60" s="95">
        <f>SUM('DOE25'!G97:G109)</f>
        <v>0</v>
      </c>
      <c r="E60" s="95">
        <f>SUM('DOE25'!H97:H109)</f>
        <v>1100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229162</v>
      </c>
      <c r="D61" s="130">
        <f>SUM(D56:D60)</f>
        <v>572699</v>
      </c>
      <c r="E61" s="130">
        <f>SUM(E56:E60)</f>
        <v>38485</v>
      </c>
      <c r="F61" s="130">
        <f>SUM(F56:F60)</f>
        <v>0</v>
      </c>
      <c r="G61" s="130">
        <f>SUM(G56:G60)</f>
        <v>1931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18879977</v>
      </c>
      <c r="D62" s="22">
        <f>D55+D61</f>
        <v>572699</v>
      </c>
      <c r="E62" s="22">
        <f>E55+E61</f>
        <v>38485</v>
      </c>
      <c r="F62" s="22">
        <f>F55+F61</f>
        <v>0</v>
      </c>
      <c r="G62" s="22">
        <f>G55+G61</f>
        <v>1931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10811243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2743297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9367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31848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13595755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630701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275847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4280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910828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13400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14506583</v>
      </c>
      <c r="D80" s="130">
        <f>SUM(D78:D79)+D77+D69</f>
        <v>0</v>
      </c>
      <c r="E80" s="130">
        <f>SUM(E78:E79)+E77+E69</f>
        <v>13400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292847</v>
      </c>
      <c r="D84" s="95">
        <f>'DOE25'!G146</f>
        <v>0</v>
      </c>
      <c r="E84" s="95">
        <f>'DOE25'!H146</f>
        <v>2657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238270</v>
      </c>
      <c r="D87" s="95">
        <f>SUM('DOE25'!G152:G160)</f>
        <v>493324</v>
      </c>
      <c r="E87" s="95">
        <f>SUM('DOE25'!H152:H160)</f>
        <v>1453243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531117</v>
      </c>
      <c r="D90" s="131">
        <f>SUM(D84:D89)</f>
        <v>493324</v>
      </c>
      <c r="E90" s="131">
        <f>SUM(E84:E89)</f>
        <v>1455900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1094737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4512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897204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4512</v>
      </c>
      <c r="D102" s="86">
        <f>SUM(D92:D101)</f>
        <v>0</v>
      </c>
      <c r="E102" s="86">
        <f>SUM(E92:E101)</f>
        <v>0</v>
      </c>
      <c r="F102" s="86">
        <f>SUM(F92:F101)</f>
        <v>1991941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33922189</v>
      </c>
      <c r="D103" s="86">
        <f>D62+D80+D90+D102</f>
        <v>1066023</v>
      </c>
      <c r="E103" s="86">
        <f>E62+E80+E90+E102</f>
        <v>1507785</v>
      </c>
      <c r="F103" s="86">
        <f>F62+F80+F90+F102</f>
        <v>1991941</v>
      </c>
      <c r="G103" s="86">
        <f>G62+G80+G102</f>
        <v>51931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11933746</v>
      </c>
      <c r="D108" s="24" t="s">
        <v>289</v>
      </c>
      <c r="E108" s="95">
        <f>('DOE25'!L275)+('DOE25'!L294)+('DOE25'!L313)</f>
        <v>745020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8352918</v>
      </c>
      <c r="D109" s="24" t="s">
        <v>289</v>
      </c>
      <c r="E109" s="95">
        <f>('DOE25'!L276)+('DOE25'!L295)+('DOE25'!L314)</f>
        <v>541804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51427</v>
      </c>
      <c r="D110" s="24" t="s">
        <v>289</v>
      </c>
      <c r="E110" s="95">
        <f>('DOE25'!L277)+('DOE25'!L296)+('DOE25'!L315)</f>
        <v>627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261862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20599953</v>
      </c>
      <c r="D114" s="86">
        <f>SUM(D108:D113)</f>
        <v>0</v>
      </c>
      <c r="E114" s="86">
        <f>SUM(E108:E113)</f>
        <v>1287451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2196959</v>
      </c>
      <c r="D117" s="24" t="s">
        <v>289</v>
      </c>
      <c r="E117" s="95">
        <f>+('DOE25'!L280)+('DOE25'!L299)+('DOE25'!L318)</f>
        <v>23221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745611</v>
      </c>
      <c r="D118" s="24" t="s">
        <v>289</v>
      </c>
      <c r="E118" s="95">
        <f>+('DOE25'!L281)+('DOE25'!L300)+('DOE25'!L319)</f>
        <v>229440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481814</v>
      </c>
      <c r="D119" s="24" t="s">
        <v>289</v>
      </c>
      <c r="E119" s="95">
        <f>+('DOE25'!L282)+('DOE25'!L301)+('DOE25'!L320)</f>
        <v>45572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1653531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702680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2618192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2156078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579639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1003245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11134504</v>
      </c>
      <c r="D127" s="86">
        <f>SUM(D117:D126)</f>
        <v>1003245</v>
      </c>
      <c r="E127" s="86">
        <f>SUM(E117:E126)</f>
        <v>298233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5100</v>
      </c>
      <c r="D129" s="24" t="s">
        <v>289</v>
      </c>
      <c r="E129" s="129">
        <f>'DOE25'!L335</f>
        <v>0</v>
      </c>
      <c r="F129" s="129">
        <f>SUM('DOE25'!L373:'DOE25'!L379)</f>
        <v>1355729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4512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1094737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1160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50771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-1931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1149837</v>
      </c>
      <c r="D143" s="141">
        <f>SUM(D129:D142)</f>
        <v>0</v>
      </c>
      <c r="E143" s="141">
        <f>SUM(E129:E142)</f>
        <v>4512</v>
      </c>
      <c r="F143" s="141">
        <f>SUM(F129:F142)</f>
        <v>1355729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32884294</v>
      </c>
      <c r="D144" s="86">
        <f>(D114+D127+D143)</f>
        <v>1003245</v>
      </c>
      <c r="E144" s="86">
        <f>(E114+E127+E143)</f>
        <v>1590196</v>
      </c>
      <c r="F144" s="86">
        <f>(F114+F127+F143)</f>
        <v>1355729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6" t="s">
        <v>717</v>
      </c>
      <c r="B2" s="185" t="str">
        <f>'DOE25'!A2</f>
        <v>Monadnock Regional School District</v>
      </c>
    </row>
    <row r="3" spans="1:4" x14ac:dyDescent="0.2">
      <c r="B3" s="187" t="s">
        <v>862</v>
      </c>
    </row>
    <row r="4" spans="1:4" x14ac:dyDescent="0.2">
      <c r="B4" t="s">
        <v>61</v>
      </c>
      <c r="C4" s="178">
        <f>IF('DOE25'!F664+'DOE25'!F669=0,0,ROUND('DOE25'!F671,0))</f>
        <v>16930</v>
      </c>
    </row>
    <row r="5" spans="1:4" x14ac:dyDescent="0.2">
      <c r="B5" t="s">
        <v>704</v>
      </c>
      <c r="C5" s="178">
        <f>IF('DOE25'!G664+'DOE25'!G669=0,0,ROUND('DOE25'!G671,0))</f>
        <v>14660</v>
      </c>
    </row>
    <row r="6" spans="1:4" x14ac:dyDescent="0.2">
      <c r="B6" t="s">
        <v>62</v>
      </c>
      <c r="C6" s="178">
        <f>IF('DOE25'!H664+'DOE25'!H669=0,0,ROUND('DOE25'!H671,0))</f>
        <v>15724</v>
      </c>
    </row>
    <row r="7" spans="1:4" x14ac:dyDescent="0.2">
      <c r="B7" t="s">
        <v>705</v>
      </c>
      <c r="C7" s="178">
        <f>IF('DOE25'!I664+'DOE25'!I669=0,0,ROUND('DOE25'!I671,0))</f>
        <v>16211</v>
      </c>
    </row>
    <row r="9" spans="1:4" x14ac:dyDescent="0.2">
      <c r="A9" s="186" t="s">
        <v>94</v>
      </c>
      <c r="B9" s="187" t="s">
        <v>861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ROUND('DOE25'!L196+'DOE25'!L214+'DOE25'!L232+'DOE25'!L275+'DOE25'!L294+'DOE25'!L313,0)</f>
        <v>12678766</v>
      </c>
      <c r="D10" s="181">
        <f>ROUND((C10/$C$28)*100,1)</f>
        <v>37.6</v>
      </c>
    </row>
    <row r="11" spans="1:4" x14ac:dyDescent="0.2">
      <c r="A11">
        <v>1200</v>
      </c>
      <c r="B11" t="s">
        <v>707</v>
      </c>
      <c r="C11" s="178">
        <f>ROUND('DOE25'!L197+'DOE25'!L215+'DOE25'!L233+'DOE25'!L276+'DOE25'!L295+'DOE25'!L314,0)</f>
        <v>8894722</v>
      </c>
      <c r="D11" s="181">
        <f>ROUND((C11/$C$28)*100,1)</f>
        <v>26.4</v>
      </c>
    </row>
    <row r="12" spans="1:4" x14ac:dyDescent="0.2">
      <c r="A12">
        <v>1300</v>
      </c>
      <c r="B12" t="s">
        <v>708</v>
      </c>
      <c r="C12" s="178">
        <f>ROUND('DOE25'!L198+'DOE25'!L216+'DOE25'!L234+'DOE25'!L277+'DOE25'!L296+'DOE25'!L315,0)</f>
        <v>52054</v>
      </c>
      <c r="D12" s="181">
        <f>ROUND((C12/$C$28)*100,1)</f>
        <v>0.2</v>
      </c>
    </row>
    <row r="13" spans="1:4" x14ac:dyDescent="0.2">
      <c r="A13">
        <v>1400</v>
      </c>
      <c r="B13" t="s">
        <v>709</v>
      </c>
      <c r="C13" s="178">
        <f>ROUND('DOE25'!L199+'DOE25'!L217+'DOE25'!L235+'DOE25'!L278+'DOE25'!L297+'DOE25'!L316,0)</f>
        <v>261862</v>
      </c>
      <c r="D13" s="181">
        <f>ROUND((C13/$C$28)*100,1)</f>
        <v>0.8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ROUND('DOE25'!L201+'DOE25'!L219+'DOE25'!L237+'DOE25'!L280+'DOE25'!L299+'DOE25'!L318,0)</f>
        <v>2220180</v>
      </c>
      <c r="D15" s="181">
        <f t="shared" ref="D15:D27" si="0">ROUND((C15/$C$28)*100,1)</f>
        <v>6.6</v>
      </c>
    </row>
    <row r="16" spans="1:4" x14ac:dyDescent="0.2">
      <c r="A16">
        <v>2200</v>
      </c>
      <c r="B16" t="s">
        <v>711</v>
      </c>
      <c r="C16" s="178">
        <f>ROUND('DOE25'!L202+'DOE25'!L220+'DOE25'!L238+'DOE25'!L281+'DOE25'!L300+'DOE25'!L319,0)</f>
        <v>975051</v>
      </c>
      <c r="D16" s="181">
        <f t="shared" si="0"/>
        <v>2.9</v>
      </c>
    </row>
    <row r="17" spans="1:4" x14ac:dyDescent="0.2">
      <c r="A17" s="182" t="s">
        <v>727</v>
      </c>
      <c r="B17" t="s">
        <v>742</v>
      </c>
      <c r="C17" s="178">
        <f>ROUND('DOE25'!L203+'DOE25'!L208+'DOE25'!L221+'DOE25'!L226+'DOE25'!L239+'DOE25'!L244+'DOE25'!L282+'DOE25'!L287+'DOE25'!L301+'DOE25'!L306+'DOE25'!L320+'DOE25'!L325,0)</f>
        <v>1107025</v>
      </c>
      <c r="D17" s="181">
        <f t="shared" si="0"/>
        <v>3.3</v>
      </c>
    </row>
    <row r="18" spans="1:4" x14ac:dyDescent="0.2">
      <c r="A18">
        <v>2400</v>
      </c>
      <c r="B18" t="s">
        <v>715</v>
      </c>
      <c r="C18" s="178">
        <f>ROUND('DOE25'!L204+'DOE25'!L222+'DOE25'!L240+'DOE25'!L283+'DOE25'!L302+'DOE25'!L321,0)</f>
        <v>1653531</v>
      </c>
      <c r="D18" s="181">
        <f t="shared" si="0"/>
        <v>4.9000000000000004</v>
      </c>
    </row>
    <row r="19" spans="1:4" x14ac:dyDescent="0.2">
      <c r="A19">
        <v>2500</v>
      </c>
      <c r="B19" t="s">
        <v>712</v>
      </c>
      <c r="C19" s="178">
        <f>ROUND('DOE25'!L205+'DOE25'!L223+'DOE25'!L241+'DOE25'!L284+'DOE25'!L303+'DOE25'!L322,0)</f>
        <v>702680</v>
      </c>
      <c r="D19" s="181">
        <f t="shared" si="0"/>
        <v>2.1</v>
      </c>
    </row>
    <row r="20" spans="1:4" x14ac:dyDescent="0.2">
      <c r="A20">
        <v>2600</v>
      </c>
      <c r="B20" t="s">
        <v>713</v>
      </c>
      <c r="C20" s="178">
        <f>ROUND('DOE25'!L206+'DOE25'!L224+'DOE25'!L242+'DOE25'!L285+'DOE25'!L304+'DOE25'!L323,0)</f>
        <v>2618192</v>
      </c>
      <c r="D20" s="181">
        <f t="shared" si="0"/>
        <v>7.8</v>
      </c>
    </row>
    <row r="21" spans="1:4" x14ac:dyDescent="0.2">
      <c r="A21">
        <v>2700</v>
      </c>
      <c r="B21" t="s">
        <v>714</v>
      </c>
      <c r="C21" s="178">
        <f>ROUND('DOE25'!L207+'DOE25'!L225+'DOE25'!L243+'DOE25'!L286+'DOE25'!L305+'DOE25'!L324,0)</f>
        <v>2156078</v>
      </c>
      <c r="D21" s="181">
        <f t="shared" si="0"/>
        <v>6.4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ROUND('DOE25'!L249+'DOE25'!L331,0)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ROUND('DOE25'!L250+'DOE25'!L251+'DOE25'!L252+'DOE25'!L253+'DOE25'!L332+'DOE25'!L333+'DOE25'!L334,0)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ROUND('DOE25'!L260+'DOE25'!L341,0)</f>
        <v>0</v>
      </c>
      <c r="D25" s="181">
        <f t="shared" si="0"/>
        <v>0</v>
      </c>
    </row>
    <row r="26" spans="1:4" x14ac:dyDescent="0.2">
      <c r="A26" s="182" t="s">
        <v>721</v>
      </c>
      <c r="B26" t="s">
        <v>722</v>
      </c>
      <c r="C26" s="178">
        <f>'DOE25'!L267+'DOE25'!L268+'DOE25'!L348+'DOE25'!L349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ROUND('DOE25'!L361-'DOE25'!L360,0)-SUM('DOE25'!G96:G109)</f>
        <v>430567</v>
      </c>
      <c r="D27" s="181">
        <f t="shared" si="0"/>
        <v>1.3</v>
      </c>
    </row>
    <row r="28" spans="1:4" x14ac:dyDescent="0.2">
      <c r="B28" s="186" t="s">
        <v>723</v>
      </c>
      <c r="C28" s="179">
        <f>SUM(C10:C27)</f>
        <v>33750708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ROUND('DOE25'!L254+'DOE25'!L335+'DOE25'!L373+'DOE25'!L374+'DOE25'!L375+'DOE25'!L376+'DOE25'!L377+'DOE25'!L378+'DOE25'!L379,0)</f>
        <v>1360829</v>
      </c>
    </row>
    <row r="30" spans="1:4" x14ac:dyDescent="0.2">
      <c r="B30" s="186" t="s">
        <v>729</v>
      </c>
      <c r="C30" s="179">
        <f>SUM(C28:C29)</f>
        <v>35111537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ROUND('DOE25'!L259+'DOE25'!L340,0)</f>
        <v>0</v>
      </c>
    </row>
    <row r="34" spans="1:4" x14ac:dyDescent="0.2">
      <c r="A34" s="186" t="s">
        <v>94</v>
      </c>
      <c r="B34" s="187" t="s">
        <v>860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ROUND('DOE25'!F59+'DOE25'!G59+'DOE25'!H59+'DOE25'!I59+'DOE25'!J59,0)</f>
        <v>18650815</v>
      </c>
      <c r="D35" s="181">
        <f t="shared" ref="D35:D40" si="1">ROUND((C35/$C$41)*100,1)</f>
        <v>51.9</v>
      </c>
    </row>
    <row r="36" spans="1:4" x14ac:dyDescent="0.2">
      <c r="B36" s="184" t="s">
        <v>743</v>
      </c>
      <c r="C36" s="178">
        <f>SUM('DOE25'!F111:J111)-SUM('DOE25'!G96:G109)+('DOE25'!F173+'DOE25'!F174+'DOE25'!I173+'DOE25'!I174)-C35</f>
        <v>269599</v>
      </c>
      <c r="D36" s="181">
        <f t="shared" si="1"/>
        <v>0.8</v>
      </c>
    </row>
    <row r="37" spans="1:4" x14ac:dyDescent="0.2">
      <c r="A37" s="182" t="s">
        <v>853</v>
      </c>
      <c r="B37" s="184" t="s">
        <v>732</v>
      </c>
      <c r="C37" s="178">
        <f>ROUND('DOE25'!F116+'DOE25'!F117+'DOE25'!F118,0)</f>
        <v>13563907</v>
      </c>
      <c r="D37" s="181">
        <f t="shared" si="1"/>
        <v>37.799999999999997</v>
      </c>
    </row>
    <row r="38" spans="1:4" x14ac:dyDescent="0.2">
      <c r="A38" s="182" t="s">
        <v>738</v>
      </c>
      <c r="B38" s="184" t="s">
        <v>733</v>
      </c>
      <c r="C38" s="178">
        <f>ROUND(SUM('DOE25'!F139:J139)-SUM('DOE25'!F116:F118),0)</f>
        <v>956076</v>
      </c>
      <c r="D38" s="181">
        <f t="shared" si="1"/>
        <v>2.7</v>
      </c>
    </row>
    <row r="39" spans="1:4" x14ac:dyDescent="0.2">
      <c r="A39">
        <v>4000</v>
      </c>
      <c r="B39" s="184" t="s">
        <v>734</v>
      </c>
      <c r="C39" s="178">
        <f>ROUND('DOE25'!F168+'DOE25'!G168+'DOE25'!H168+'DOE25'!I168,0)</f>
        <v>2480341</v>
      </c>
      <c r="D39" s="181">
        <f t="shared" si="1"/>
        <v>6.9</v>
      </c>
    </row>
    <row r="40" spans="1:4" x14ac:dyDescent="0.2">
      <c r="A40" s="182" t="s">
        <v>739</v>
      </c>
      <c r="B40" s="184" t="s">
        <v>735</v>
      </c>
      <c r="C40" s="178">
        <f>ROUND(SUM('DOE25'!F188:F190)+SUM('DOE25'!G188:G190)+SUM('DOE25'!H188:H190)+SUM('DOE25'!I188:I190),0)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35920738</v>
      </c>
      <c r="D41" s="183">
        <f>SUM(D35:D40)</f>
        <v>100.10000000000001</v>
      </c>
    </row>
    <row r="42" spans="1:4" x14ac:dyDescent="0.2">
      <c r="A42" s="182" t="s">
        <v>741</v>
      </c>
      <c r="B42" s="184" t="s">
        <v>737</v>
      </c>
      <c r="C42" s="178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3"/>
      <c r="K1" s="213"/>
      <c r="L1" s="213"/>
      <c r="M1" s="214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Monadnock Regional School District</v>
      </c>
      <c r="G2" s="291"/>
      <c r="H2" s="291"/>
      <c r="I2" s="29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8"/>
      <c r="B4" s="219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7"/>
      <c r="AO29" s="207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7"/>
      <c r="BB29" s="207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7"/>
      <c r="BO29" s="207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7"/>
      <c r="CB29" s="207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7"/>
      <c r="CO29" s="207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7"/>
      <c r="DB29" s="207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7"/>
      <c r="DO29" s="207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7"/>
      <c r="EB29" s="207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7"/>
      <c r="EO29" s="207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7"/>
      <c r="FB29" s="207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7"/>
      <c r="FO29" s="207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7"/>
      <c r="GB29" s="207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7"/>
      <c r="GO29" s="207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7"/>
      <c r="HB29" s="207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7"/>
      <c r="HO29" s="207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7"/>
      <c r="IB29" s="207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7"/>
      <c r="IO29" s="207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8"/>
      <c r="B30" s="219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7"/>
      <c r="AO30" s="207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7"/>
      <c r="BB30" s="207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7"/>
      <c r="BO30" s="207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7"/>
      <c r="CB30" s="207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7"/>
      <c r="CO30" s="207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7"/>
      <c r="DB30" s="207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7"/>
      <c r="DO30" s="207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7"/>
      <c r="EB30" s="207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7"/>
      <c r="EO30" s="207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7"/>
      <c r="FB30" s="207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7"/>
      <c r="FO30" s="207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7"/>
      <c r="GB30" s="207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7"/>
      <c r="GO30" s="207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7"/>
      <c r="HB30" s="207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7"/>
      <c r="HO30" s="207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7"/>
      <c r="IB30" s="207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7"/>
      <c r="IO30" s="207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8"/>
      <c r="B31" s="219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7"/>
      <c r="AO31" s="207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7"/>
      <c r="BB31" s="207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7"/>
      <c r="BO31" s="207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7"/>
      <c r="CB31" s="207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7"/>
      <c r="CO31" s="207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7"/>
      <c r="DB31" s="207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7"/>
      <c r="DO31" s="207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7"/>
      <c r="EB31" s="207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7"/>
      <c r="EO31" s="207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7"/>
      <c r="FB31" s="207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7"/>
      <c r="FO31" s="207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7"/>
      <c r="GB31" s="207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7"/>
      <c r="GO31" s="207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7"/>
      <c r="HB31" s="207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7"/>
      <c r="HO31" s="207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7"/>
      <c r="IB31" s="207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7"/>
      <c r="IO31" s="207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8"/>
      <c r="B32" s="219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8"/>
      <c r="AO32" s="219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8"/>
      <c r="BB32" s="219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8"/>
      <c r="BO32" s="219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8"/>
      <c r="CB32" s="219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8"/>
      <c r="CO32" s="219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8"/>
      <c r="DB32" s="219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8"/>
      <c r="DO32" s="219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8"/>
      <c r="EB32" s="219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8"/>
      <c r="EO32" s="219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8"/>
      <c r="FB32" s="219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8"/>
      <c r="FO32" s="219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8"/>
      <c r="GB32" s="219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8"/>
      <c r="GO32" s="219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8"/>
      <c r="HB32" s="219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8"/>
      <c r="HO32" s="219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8"/>
      <c r="IB32" s="219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8"/>
      <c r="IO32" s="219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8"/>
      <c r="B33" s="219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7"/>
      <c r="AO38" s="207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7"/>
      <c r="BB38" s="207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7"/>
      <c r="BO38" s="207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7"/>
      <c r="CB38" s="207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7"/>
      <c r="CO38" s="207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7"/>
      <c r="DB38" s="207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7"/>
      <c r="DO38" s="207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7"/>
      <c r="EB38" s="207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7"/>
      <c r="EO38" s="207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7"/>
      <c r="FB38" s="207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7"/>
      <c r="FO38" s="207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7"/>
      <c r="GB38" s="207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7"/>
      <c r="GO38" s="207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7"/>
      <c r="HB38" s="207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7"/>
      <c r="HO38" s="207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7"/>
      <c r="IB38" s="207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7"/>
      <c r="IO38" s="207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8"/>
      <c r="B39" s="21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7"/>
      <c r="AO39" s="207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7"/>
      <c r="BB39" s="207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7"/>
      <c r="BO39" s="207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7"/>
      <c r="CB39" s="207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7"/>
      <c r="CO39" s="207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7"/>
      <c r="DB39" s="207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7"/>
      <c r="DO39" s="207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7"/>
      <c r="EB39" s="207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7"/>
      <c r="EO39" s="207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7"/>
      <c r="FB39" s="207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7"/>
      <c r="FO39" s="207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7"/>
      <c r="GB39" s="207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7"/>
      <c r="GO39" s="207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7"/>
      <c r="HB39" s="207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7"/>
      <c r="HO39" s="207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7"/>
      <c r="IB39" s="207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7"/>
      <c r="IO39" s="207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8"/>
      <c r="B40" s="219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7"/>
      <c r="AO40" s="207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7"/>
      <c r="BB40" s="207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7"/>
      <c r="BO40" s="207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7"/>
      <c r="CB40" s="207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7"/>
      <c r="CO40" s="207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7"/>
      <c r="DB40" s="207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7"/>
      <c r="DO40" s="207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7"/>
      <c r="EB40" s="207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7"/>
      <c r="EO40" s="207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7"/>
      <c r="FB40" s="207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7"/>
      <c r="FO40" s="207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7"/>
      <c r="GB40" s="207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7"/>
      <c r="GO40" s="207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7"/>
      <c r="HB40" s="207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7"/>
      <c r="HO40" s="207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7"/>
      <c r="IB40" s="207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7"/>
      <c r="IO40" s="207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8"/>
      <c r="B41" s="219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8"/>
      <c r="B60" s="219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8"/>
      <c r="B61" s="219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8"/>
      <c r="B62" s="219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8"/>
      <c r="B63" s="219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8"/>
      <c r="B64" s="219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8"/>
      <c r="B65" s="219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8"/>
      <c r="B66" s="219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8"/>
      <c r="B67" s="219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8"/>
      <c r="B68" s="219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8"/>
      <c r="B69" s="219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0"/>
      <c r="B70" s="221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1"/>
      <c r="B74" s="211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1"/>
      <c r="B75" s="211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1"/>
      <c r="B76" s="211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1"/>
      <c r="B77" s="211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1"/>
      <c r="B78" s="211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1"/>
      <c r="B79" s="211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1"/>
      <c r="B80" s="211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1"/>
      <c r="B81" s="211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1"/>
      <c r="B82" s="211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1"/>
      <c r="B83" s="211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1"/>
      <c r="B84" s="211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1"/>
      <c r="B85" s="211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1"/>
      <c r="B86" s="211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1"/>
      <c r="B87" s="211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1"/>
      <c r="B88" s="211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1"/>
      <c r="B89" s="211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1"/>
      <c r="B90" s="211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2012-10-22T13:46:44Z</cp:lastPrinted>
  <dcterms:created xsi:type="dcterms:W3CDTF">1997-12-04T19:04:30Z</dcterms:created>
  <dcterms:modified xsi:type="dcterms:W3CDTF">2012-11-21T15:02:45Z</dcterms:modified>
</cp:coreProperties>
</file>