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7" i="1" l="1"/>
  <c r="F56" i="1"/>
  <c r="F24" i="1"/>
  <c r="H590" i="1"/>
  <c r="H197" i="1"/>
  <c r="H207" i="1"/>
  <c r="H233" i="1"/>
  <c r="H243" i="1"/>
  <c r="H237" i="1"/>
  <c r="H232" i="1"/>
  <c r="H520" i="1"/>
  <c r="H522" i="1"/>
  <c r="G197" i="1"/>
  <c r="F197" i="1"/>
  <c r="G520" i="1"/>
  <c r="F520" i="1"/>
  <c r="J464" i="1"/>
  <c r="F458" i="1"/>
  <c r="F438" i="1"/>
  <c r="F367" i="1"/>
  <c r="F366" i="1"/>
  <c r="H540" i="1"/>
  <c r="F9" i="1"/>
  <c r="J95" i="1"/>
  <c r="B20" i="12"/>
  <c r="B19" i="12"/>
  <c r="B10" i="12"/>
  <c r="H280" i="1"/>
  <c r="H154" i="1"/>
  <c r="G96" i="1"/>
  <c r="H357" i="1"/>
  <c r="H196" i="1"/>
  <c r="H199" i="1"/>
  <c r="G14" i="1"/>
  <c r="F109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 s="1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/>
  <c r="C22" i="2"/>
  <c r="D22" i="2"/>
  <c r="E22" i="2"/>
  <c r="F22" i="2"/>
  <c r="I448" i="1"/>
  <c r="J23" i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/>
  <c r="I458" i="1"/>
  <c r="J47" i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I187" i="1"/>
  <c r="I191" i="1" s="1"/>
  <c r="J182" i="1"/>
  <c r="J191" i="1" s="1"/>
  <c r="F187" i="1"/>
  <c r="G187" i="1"/>
  <c r="H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I433" i="1" s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F544" i="1" s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J648" i="1" s="1"/>
  <c r="I597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J651" i="1" s="1"/>
  <c r="G652" i="1"/>
  <c r="H652" i="1"/>
  <c r="J652" i="1"/>
  <c r="G653" i="1"/>
  <c r="H653" i="1"/>
  <c r="J653" i="1" s="1"/>
  <c r="H654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H663" i="1" s="1"/>
  <c r="H671" i="1" s="1"/>
  <c r="C6" i="10" s="1"/>
  <c r="L350" i="1"/>
  <c r="I661" i="1"/>
  <c r="L289" i="1"/>
  <c r="F659" i="1" s="1"/>
  <c r="F663" i="1" s="1"/>
  <c r="F671" i="1" s="1"/>
  <c r="C4" i="10" s="1"/>
  <c r="A31" i="12"/>
  <c r="C69" i="2"/>
  <c r="A40" i="12"/>
  <c r="D12" i="13"/>
  <c r="C12" i="13" s="1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 s="1"/>
  <c r="F61" i="2"/>
  <c r="F62" i="2" s="1"/>
  <c r="D31" i="2"/>
  <c r="C127" i="2"/>
  <c r="C77" i="2"/>
  <c r="D49" i="2"/>
  <c r="D50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/>
  <c r="D19" i="13"/>
  <c r="C19" i="13"/>
  <c r="D14" i="13"/>
  <c r="C14" i="13"/>
  <c r="E13" i="13"/>
  <c r="C13" i="13"/>
  <c r="C7" i="13"/>
  <c r="J616" i="1"/>
  <c r="C80" i="2"/>
  <c r="E77" i="2"/>
  <c r="E80" i="2" s="1"/>
  <c r="E103" i="2" s="1"/>
  <c r="F103" i="2"/>
  <c r="L426" i="1"/>
  <c r="J256" i="1"/>
  <c r="H111" i="1"/>
  <c r="F111" i="1"/>
  <c r="J640" i="1"/>
  <c r="J638" i="1"/>
  <c r="K604" i="1"/>
  <c r="G647" i="1"/>
  <c r="J570" i="1"/>
  <c r="K570" i="1"/>
  <c r="L432" i="1"/>
  <c r="L418" i="1"/>
  <c r="L433" i="1" s="1"/>
  <c r="G637" i="1" s="1"/>
  <c r="J637" i="1" s="1"/>
  <c r="D80" i="2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/>
  <c r="I475" i="1"/>
  <c r="H624" i="1"/>
  <c r="G475" i="1"/>
  <c r="H622" i="1"/>
  <c r="J622" i="1" s="1"/>
  <c r="G337" i="1"/>
  <c r="G351" i="1" s="1"/>
  <c r="D144" i="2"/>
  <c r="C23" i="10"/>
  <c r="C28" i="10"/>
  <c r="F168" i="1"/>
  <c r="F192" i="1"/>
  <c r="G626" i="1" s="1"/>
  <c r="J626" i="1" s="1"/>
  <c r="J139" i="1"/>
  <c r="D103" i="2"/>
  <c r="J621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/>
  <c r="J32" i="1"/>
  <c r="J647" i="1"/>
  <c r="K597" i="1"/>
  <c r="G646" i="1"/>
  <c r="J646" i="1" s="1"/>
  <c r="K544" i="1"/>
  <c r="I192" i="1"/>
  <c r="G629" i="1"/>
  <c r="J629" i="1" s="1"/>
  <c r="J617" i="1"/>
  <c r="J551" i="1"/>
  <c r="H551" i="1"/>
  <c r="C29" i="10"/>
  <c r="I660" i="1"/>
  <c r="H139" i="1"/>
  <c r="C38" i="10"/>
  <c r="L400" i="1"/>
  <c r="C138" i="2"/>
  <c r="L392" i="1"/>
  <c r="A13" i="12"/>
  <c r="F22" i="13"/>
  <c r="H25" i="13"/>
  <c r="D25" i="10"/>
  <c r="D23" i="10"/>
  <c r="C30" i="10"/>
  <c r="D24" i="10"/>
  <c r="D17" i="10"/>
  <c r="D11" i="10"/>
  <c r="D22" i="10"/>
  <c r="J650" i="1"/>
  <c r="J639" i="1"/>
  <c r="J633" i="1"/>
  <c r="H570" i="1"/>
  <c r="L559" i="1"/>
  <c r="J544" i="1"/>
  <c r="L336" i="1"/>
  <c r="H337" i="1"/>
  <c r="H351" i="1"/>
  <c r="F337" i="1"/>
  <c r="F351" i="1"/>
  <c r="G191" i="1"/>
  <c r="G192" i="1"/>
  <c r="G627" i="1" s="1"/>
  <c r="J627" i="1" s="1"/>
  <c r="H191" i="1"/>
  <c r="E127" i="2"/>
  <c r="E144" i="2" s="1"/>
  <c r="F551" i="1"/>
  <c r="C35" i="10"/>
  <c r="C36" i="10"/>
  <c r="L308" i="1"/>
  <c r="D5" i="13"/>
  <c r="E16" i="13"/>
  <c r="J624" i="1"/>
  <c r="C49" i="2"/>
  <c r="C50" i="2"/>
  <c r="J654" i="1"/>
  <c r="J644" i="1"/>
  <c r="J192" i="1"/>
  <c r="H666" i="1"/>
  <c r="D15" i="10"/>
  <c r="D27" i="10"/>
  <c r="L569" i="1"/>
  <c r="I570" i="1"/>
  <c r="I544" i="1"/>
  <c r="J635" i="1"/>
  <c r="G36" i="2"/>
  <c r="G49" i="2"/>
  <c r="G50" i="2" s="1"/>
  <c r="J50" i="1"/>
  <c r="C39" i="10"/>
  <c r="H192" i="1"/>
  <c r="G628" i="1" s="1"/>
  <c r="J628" i="1" s="1"/>
  <c r="L564" i="1"/>
  <c r="L570" i="1"/>
  <c r="G544" i="1"/>
  <c r="L544" i="1"/>
  <c r="H544" i="1"/>
  <c r="K550" i="1"/>
  <c r="K551" i="1" s="1"/>
  <c r="D26" i="10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/>
  <c r="C143" i="2" s="1"/>
  <c r="C144" i="2" s="1"/>
  <c r="L407" i="1"/>
  <c r="C16" i="13"/>
  <c r="E33" i="13"/>
  <c r="D35" i="13"/>
  <c r="G659" i="1"/>
  <c r="I659" i="1" s="1"/>
  <c r="D31" i="13"/>
  <c r="C31" i="13" s="1"/>
  <c r="L337" i="1"/>
  <c r="L351" i="1" s="1"/>
  <c r="G632" i="1" s="1"/>
  <c r="J632" i="1" s="1"/>
  <c r="C25" i="13"/>
  <c r="H33" i="13"/>
  <c r="F666" i="1"/>
  <c r="G630" i="1"/>
  <c r="J630" i="1"/>
  <c r="G645" i="1"/>
  <c r="G625" i="1"/>
  <c r="J625" i="1" s="1"/>
  <c r="J51" i="1"/>
  <c r="H620" i="1"/>
  <c r="C41" i="10"/>
  <c r="D39" i="10" s="1"/>
  <c r="G636" i="1"/>
  <c r="J636" i="1" s="1"/>
  <c r="H645" i="1"/>
  <c r="J645" i="1" s="1"/>
  <c r="D33" i="13"/>
  <c r="D36" i="13" s="1"/>
  <c r="G663" i="1"/>
  <c r="G666" i="1" s="1"/>
  <c r="D35" i="10"/>
  <c r="D38" i="10"/>
  <c r="G671" i="1"/>
  <c r="J620" i="1" l="1"/>
  <c r="H655" i="1"/>
  <c r="G163" i="2"/>
  <c r="I662" i="1"/>
  <c r="I663" i="1" s="1"/>
  <c r="D40" i="10"/>
  <c r="D36" i="10"/>
  <c r="D41" i="10" s="1"/>
  <c r="D37" i="10"/>
  <c r="G160" i="2"/>
  <c r="I666" i="1" l="1"/>
  <c r="I671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<sst xmlns="http://schemas.openxmlformats.org/spreadsheetml/2006/main" count="3964" uniqueCount="927">
  <si>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</si>
  <si>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</si>
  <si>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</si>
  <si>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</si>
  <si>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</si>
  <si>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</si>
  <si>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</si>
  <si>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</si>
  <si>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</si>
  <si>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</si>
  <si>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</si>
  <si>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</si>
  <si>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</si>
  <si>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</si>
  <si>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</si>
  <si>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</si>
  <si>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</si>
  <si>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</si>
  <si>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</si>
  <si>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</si>
  <si>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</si>
  <si>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</si>
  <si>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</si>
  <si>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</si>
  <si>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</si>
  <si>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</si>
  <si>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</si>
  <si>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</si>
  <si>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</si>
  <si>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</si>
  <si>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</si>
  <si>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</si>
  <si>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</si>
  <si>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</si>
  <si>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</si>
  <si>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</si>
  <si>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</si>
  <si>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</si>
  <si>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</si>
  <si>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</si>
  <si>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</si>
  <si>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</si>
  <si>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</si>
  <si>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</si>
  <si>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</si>
  <si>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</si>
  <si>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</si>
  <si>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</si>
  <si>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</si>
  <si>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</si>
  <si>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</si>
  <si>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</si>
  <si>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</si>
  <si>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</si>
  <si>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</si>
  <si>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</si>
  <si>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</si>
  <si>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</si>
  <si>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</si>
  <si>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</si>
  <si>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</si>
  <si>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</si>
  <si>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</si>
  <si>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</si>
  <si>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</si>
  <si>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</si>
  <si>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</si>
  <si>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</si>
  <si>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</si>
  <si>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</si>
  <si>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</si>
  <si>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</si>
  <si>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</si>
  <si>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</si>
  <si>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</si>
  <si>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</si>
  <si>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</si>
  <si>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</si>
  <si>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</si>
  <si>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</si>
  <si>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</si>
  <si>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</si>
  <si>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</si>
  <si>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</si>
  <si>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</si>
  <si>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</si>
  <si>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</si>
  <si>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</si>
  <si>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</si>
  <si>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</si>
  <si>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</si>
  <si>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</si>
  <si>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</si>
  <si>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</si>
  <si>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</si>
  <si>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</si>
  <si>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</si>
  <si>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</si>
  <si>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</si>
  <si>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</si>
  <si>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</si>
  <si>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</si>
  <si>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</si>
  <si>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</si>
  <si>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</si>
  <si>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</si>
  <si>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</si>
  <si>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</si>
  <si>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</si>
  <si>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</si>
  <si>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</si>
  <si>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</si>
  <si>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</si>
  <si>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</si>
  <si>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</si>
  <si>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</si>
  <si>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</si>
  <si>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</si>
  <si>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</si>
  <si>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</si>
  <si>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</si>
  <si>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</si>
  <si>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</si>
  <si>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</si>
  <si>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</si>
  <si>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</si>
  <si>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</si>
  <si>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</si>
  <si>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</si>
  <si>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</si>
  <si>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</si>
  <si>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</si>
  <si>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</si>
  <si>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</si>
  <si>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</si>
  <si>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</si>
  <si>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</si>
  <si>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</si>
  <si>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</si>
  <si>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</si>
  <si>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</si>
  <si>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</si>
  <si>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</si>
  <si>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</si>
  <si>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</si>
  <si>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</si>
  <si>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</si>
  <si>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</si>
  <si>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</si>
  <si>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</si>
  <si>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</si>
  <si>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</si>
  <si>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</si>
  <si>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</si>
  <si>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</si>
  <si>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</si>
  <si>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</si>
  <si>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</si>
  <si>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</si>
  <si>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</si>
  <si>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</si>
  <si>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</si>
  <si>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</si>
  <si>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</si>
  <si>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</si>
  <si>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</si>
  <si>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</si>
  <si>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</si>
  <si>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</si>
  <si>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</si>
  <si>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</si>
  <si>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</si>
  <si>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</si>
  <si>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</si>
  <si>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</si>
  <si>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</si>
  <si>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</si>
  <si>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</si>
  <si>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</si>
  <si>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</si>
  <si>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</si>
  <si>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</si>
  <si>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</si>
  <si>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</si>
  <si>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</si>
  <si>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</si>
  <si>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</si>
  <si>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</si>
  <si>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</si>
  <si>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</si>
  <si>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</si>
  <si>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</si>
  <si>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</si>
  <si>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</si>
  <si>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</si>
  <si>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</si>
  <si>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</si>
  <si>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</si>
  <si>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</si>
  <si>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</si>
  <si>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</si>
  <si>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</si>
  <si>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</si>
  <si>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</si>
  <si>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</si>
  <si>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</si>
  <si>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</si>
  <si>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</si>
  <si>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</si>
  <si>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</si>
  <si>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</si>
  <si>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</si>
  <si>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</si>
  <si>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</si>
  <si>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</si>
  <si>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</si>
  <si>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</si>
  <si>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</si>
  <si>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</si>
  <si>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</si>
  <si>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</si>
  <si>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</si>
  <si>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</si>
  <si>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</si>
  <si>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</si>
  <si>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</si>
  <si>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</si>
  <si>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</si>
  <si>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</si>
  <si>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</si>
  <si>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</si>
  <si>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</si>
  <si>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</si>
  <si>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</si>
  <si>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</si>
  <si>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</si>
  <si>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</si>
  <si>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</si>
  <si>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</si>
  <si>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</si>
  <si>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</si>
  <si>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</si>
  <si>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</si>
  <si>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</si>
  <si>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</si>
  <si>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</si>
  <si>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</si>
  <si>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</si>
  <si>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</si>
  <si>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</si>
  <si>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</si>
  <si>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</si>
  <si>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</si>
  <si>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</si>
  <si>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</si>
  <si>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</si>
  <si>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</si>
  <si>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</si>
  <si>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</si>
  <si>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</si>
  <si>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</si>
  <si>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</si>
  <si>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</si>
  <si>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</si>
  <si>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</si>
  <si>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</si>
  <si>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</si>
  <si>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</si>
  <si>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</si>
  <si>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</si>
  <si>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</si>
  <si>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</si>
  <si>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</si>
  <si>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</si>
  <si>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</si>
  <si>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</si>
  <si>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</si>
  <si>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</si>
  <si>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</si>
  <si>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</si>
  <si>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</si>
  <si>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</si>
  <si>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</si>
  <si>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</si>
  <si>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</si>
  <si>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</si>
  <si>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</si>
  <si>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</si>
  <si>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</si>
  <si>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</si>
  <si>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</si>
  <si>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</si>
  <si>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</si>
  <si>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</si>
  <si>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</si>
  <si>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</si>
  <si>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</si>
  <si>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</si>
  <si>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</si>
  <si>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</si>
  <si>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</si>
  <si>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</si>
  <si>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</si>
  <si>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</si>
  <si>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</si>
  <si>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</si>
  <si>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</si>
  <si>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</si>
  <si>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</si>
  <si>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</si>
  <si>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</si>
  <si>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</si>
  <si>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</si>
  <si>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</si>
  <si>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</si>
  <si>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</si>
  <si>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</si>
  <si>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</si>
  <si>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</si>
  <si>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</si>
  <si>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</si>
  <si>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</si>
  <si>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</si>
  <si>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</si>
  <si>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</si>
  <si>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</si>
  <si>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</si>
  <si>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</si>
  <si>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</si>
  <si>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</si>
  <si>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</si>
  <si>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</si>
  <si>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</si>
  <si>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</si>
  <si>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</si>
  <si>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</si>
  <si>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</si>
  <si>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</si>
  <si>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</si>
  <si>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</si>
  <si>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</si>
  <si>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</si>
  <si>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</si>
  <si>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</si>
  <si>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</si>
  <si>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</si>
  <si>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</si>
  <si>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</si>
  <si>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</si>
  <si>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</si>
  <si>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</si>
  <si>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</si>
  <si>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</si>
  <si>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</si>
  <si>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</si>
  <si>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</si>
  <si>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</si>
  <si>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</si>
  <si>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</si>
  <si>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</si>
  <si>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</si>
  <si>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</si>
  <si>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</si>
  <si>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</si>
  <si>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</si>
  <si>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</si>
  <si>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</si>
  <si>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</si>
  <si>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</si>
  <si>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</si>
  <si>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</si>
  <si>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</si>
  <si>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</si>
  <si>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</si>
  <si>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</si>
  <si>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</si>
  <si>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</si>
  <si>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</si>
  <si>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</si>
  <si>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</si>
  <si>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</si>
  <si>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</si>
  <si>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</si>
  <si>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</si>
  <si>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</si>
  <si>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</si>
  <si>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</si>
  <si>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</si>
  <si>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</si>
  <si>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</si>
  <si>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</si>
  <si>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</si>
  <si>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</si>
  <si>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</si>
  <si>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</si>
  <si>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</si>
  <si>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</si>
  <si>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</si>
  <si>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</si>
  <si>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</si>
  <si>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</si>
  <si>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</si>
  <si>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</si>
  <si>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</si>
  <si>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</si>
  <si>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</si>
  <si>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</si>
  <si>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</si>
  <si>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</si>
  <si>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</si>
  <si>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</si>
  <si>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</si>
  <si>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</si>
  <si>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</si>
  <si>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</si>
  <si>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</si>
  <si>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</si>
  <si>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</si>
  <si>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</si>
  <si>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</si>
  <si>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</si>
  <si>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</si>
  <si>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</si>
  <si>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</si>
  <si>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</si>
  <si>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</si>
  <si>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</si>
  <si>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</si>
  <si>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</si>
  <si>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</si>
  <si>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</si>
  <si>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</si>
  <si>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</si>
  <si>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</si>
  <si>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</si>
  <si>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</si>
  <si>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</si>
  <si>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</si>
  <si>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</si>
  <si>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</si>
  <si>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</si>
  <si>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</si>
  <si>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</si>
  <si>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</si>
  <si>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</si>
  <si>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</si>
  <si>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</si>
  <si>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</si>
  <si>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</si>
  <si>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</si>
  <si>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</si>
  <si>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</si>
  <si>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</si>
  <si>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</si>
  <si>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</si>
  <si>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</si>
  <si>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</si>
  <si>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</si>
  <si>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</si>
  <si>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</si>
  <si>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</si>
  <si>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</si>
  <si>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</si>
  <si>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</si>
  <si>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</si>
  <si>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</si>
  <si>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</si>
  <si>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</si>
  <si>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</si>
  <si>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</si>
  <si>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</si>
  <si>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</si>
  <si>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</si>
  <si>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</si>
  <si>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</si>
  <si>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</si>
  <si>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</si>
  <si>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</si>
  <si>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</si>
  <si>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</si>
  <si>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</si>
  <si>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</si>
  <si>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</si>
  <si>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</si>
  <si>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</si>
  <si>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</si>
  <si>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</si>
  <si>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</si>
  <si>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</si>
  <si>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</si>
  <si>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</si>
  <si>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</si>
  <si>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</si>
  <si>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</si>
  <si>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</si>
  <si>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</si>
  <si>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</si>
  <si>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</si>
  <si>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</si>
  <si>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</si>
  <si>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</si>
  <si>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</si>
  <si>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</si>
  <si>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</si>
  <si>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</si>
  <si>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</si>
  <si>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</si>
  <si>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</si>
  <si>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</si>
  <si>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</si>
  <si>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</si>
  <si>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</si>
  <si>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</si>
  <si>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</si>
  <si>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</si>
  <si>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</si>
  <si>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</si>
  <si>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</si>
  <si>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</si>
  <si>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</si>
  <si>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</si>
  <si>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</si>
  <si>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</si>
  <si>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</si>
  <si>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</si>
  <si>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</si>
  <si>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</si>
  <si>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</si>
  <si>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</si>
  <si>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</si>
  <si>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</si>
  <si>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</si>
  <si>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</si>
  <si>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</si>
  <si>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</si>
  <si>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</si>
  <si>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</si>
  <si>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</si>
  <si>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</si>
  <si>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</si>
  <si>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</si>
  <si>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</si>
  <si>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</si>
  <si>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</si>
  <si>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</si>
  <si>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</si>
  <si>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</si>
  <si>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</si>
  <si>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</si>
  <si>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</si>
  <si>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</si>
  <si>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</si>
  <si>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</si>
  <si>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</si>
  <si>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</si>
  <si>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</si>
  <si>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</si>
  <si>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</si>
  <si>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</si>
  <si>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</si>
  <si>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</si>
  <si>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</si>
  <si>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</si>
  <si>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</si>
  <si>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</si>
  <si>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</si>
  <si>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</si>
  <si>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</si>
  <si>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</si>
  <si>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</si>
  <si>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</si>
  <si>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</si>
  <si>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</si>
  <si>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</si>
  <si>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</si>
  <si>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</si>
  <si>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</si>
  <si>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</si>
  <si>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</si>
  <si>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</si>
  <si>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</si>
  <si>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</si>
  <si>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</si>
  <si>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</si>
  <si>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</si>
  <si>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</si>
  <si>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</si>
  <si>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</si>
  <si>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</si>
  <si>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</si>
  <si>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</si>
  <si>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</si>
  <si>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</si>
  <si>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</si>
  <si>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</si>
  <si>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</si>
  <si>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</si>
  <si>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</si>
  <si>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</si>
  <si>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</si>
  <si>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</si>
  <si>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</si>
  <si>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</si>
  <si>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</si>
  <si>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</si>
  <si>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</si>
  <si>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</si>
  <si>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</si>
  <si>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</si>
  <si>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</si>
  <si>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</si>
  <si>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</si>
  <si>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</si>
  <si>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</si>
  <si>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</si>
  <si>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</si>
  <si>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</si>
  <si>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</si>
  <si>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</si>
  <si>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</si>
  <si>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</si>
  <si>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</si>
  <si>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</si>
  <si>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</si>
  <si>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</si>
  <si>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</si>
  <si>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</si>
  <si>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</si>
  <si>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</si>
  <si>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</si>
  <si>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</si>
  <si>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</si>
  <si>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</si>
  <si>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</si>
  <si>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</si>
  <si>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</si>
  <si>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</si>
  <si>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</si>
  <si>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</si>
  <si>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</si>
  <si>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</si>
  <si>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</si>
  <si>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</si>
  <si>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</si>
  <si>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</si>
  <si>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</si>
  <si>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</si>
  <si>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</si>
  <si>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</si>
  <si>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</si>
  <si>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</si>
  <si>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</si>
  <si>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</si>
  <si>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</si>
  <si>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</si>
  <si>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</si>
  <si>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</si>
  <si>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</si>
  <si>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</si>
  <si>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</si>
  <si>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</si>
  <si>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</si>
  <si>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</si>
  <si>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</si>
  <si>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</si>
  <si>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</si>
  <si>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</si>
  <si>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</si>
  <si>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</si>
  <si>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</si>
  <si>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</si>
  <si>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</si>
  <si>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</si>
  <si>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</si>
  <si>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</si>
  <si>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</si>
  <si>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</si>
  <si>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</si>
  <si>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</si>
  <si>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</si>
  <si>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</si>
  <si>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</si>
  <si>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</si>
  <si>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</si>
  <si>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</si>
  <si>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</si>
  <si>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</si>
  <si>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</si>
  <si>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</si>
  <si>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</si>
  <si>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</si>
  <si>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</si>
  <si>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</si>
  <si>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</si>
  <si>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</si>
  <si>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</si>
  <si>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</si>
  <si>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</si>
  <si>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</si>
  <si>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</si>
  <si>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</si>
  <si>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</si>
  <si>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</si>
  <si>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</si>
  <si>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</si>
  <si>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</si>
  <si>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</si>
  <si>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</si>
  <si>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</si>
  <si>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</si>
  <si>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</si>
  <si>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</si>
  <si>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</si>
  <si>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</si>
  <si>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</si>
  <si>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</si>
  <si>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</si>
  <si>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</si>
  <si>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</si>
  <si>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</si>
  <si>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</si>
  <si>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</si>
  <si>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</si>
  <si>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</si>
  <si>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</si>
  <si>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</si>
  <si>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</si>
  <si>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</si>
  <si>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</si>
  <si>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</si>
  <si>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</si>
  <si>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</si>
  <si>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</si>
  <si>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</si>
  <si>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</si>
  <si>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</si>
  <si>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</si>
  <si>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</si>
  <si>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</si>
  <si>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</si>
  <si>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</si>
  <si>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</si>
  <si>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</si>
  <si>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</si>
  <si>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</si>
  <si>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</si>
  <si>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</si>
  <si>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</si>
  <si>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</si>
  <si>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</si>
  <si>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</si>
  <si>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</si>
  <si>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</si>
  <si>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</si>
  <si>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</si>
  <si>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</si>
  <si>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</si>
  <si>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</si>
  <si>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</si>
  <si>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</si>
  <si>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</si>
  <si>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</si>
  <si>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</si>
  <si>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</si>
  <si>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</si>
  <si>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</si>
  <si>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</si>
  <si>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</si>
  <si>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</si>
  <si>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</si>
  <si>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</si>
  <si>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</si>
  <si>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</si>
  <si>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</si>
  <si>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</si>
  <si>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</si>
  <si>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</si>
  <si>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</si>
  <si>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</si>
  <si>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</si>
  <si>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</si>
  <si>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</si>
  <si>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</si>
  <si>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</si>
  <si>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</si>
  <si>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</si>
  <si>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</si>
  <si>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</si>
  <si>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</si>
  <si>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</si>
  <si>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</si>
  <si>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</si>
  <si>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</si>
  <si>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</si>
  <si>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</si>
  <si>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</si>
  <si>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</si>
  <si>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</si>
  <si>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</si>
  <si>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</si>
  <si>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</si>
  <si>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</si>
  <si>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</si>
  <si>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</si>
  <si>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</si>
  <si>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</si>
  <si>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</si>
  <si>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</si>
  <si>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</si>
  <si>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</si>
  <si>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</si>
  <si>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</si>
  <si>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</si>
  <si>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</si>
  <si>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</si>
  <si>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</si>
  <si>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</si>
  <si>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</si>
  <si>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</si>
  <si>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</si>
  <si>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</si>
  <si>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</si>
  <si>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</si>
  <si>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</si>
  <si>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</si>
  <si>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</si>
  <si>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</si>
  <si>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</si>
  <si>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</si>
  <si>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</si>
  <si>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</si>
  <si>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</si>
  <si>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</si>
  <si>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</si>
  <si>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</si>
  <si>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</si>
  <si>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</si>
  <si>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</si>
  <si>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</si>
  <si>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</si>
  <si>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</si>
  <si>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</si>
  <si>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</si>
  <si>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</si>
  <si>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</si>
  <si>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</si>
  <si>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</si>
  <si>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</si>
  <si>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</si>
  <si>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</si>
  <si>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</si>
  <si>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</si>
  <si>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</si>
  <si>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</si>
  <si>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</si>
  <si>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</si>
  <si>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</si>
  <si>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</si>
  <si>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</si>
  <si>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</si>
  <si>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</si>
  <si>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</si>
  <si>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</si>
  <si>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</si>
  <si>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</si>
  <si>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</si>
  <si>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</si>
  <si>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</si>
  <si>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</si>
  <si>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</si>
  <si>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</si>
  <si>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</si>
  <si>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</si>
  <si>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</si>
  <si>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</si>
  <si>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</si>
  <si>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</si>
  <si>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</si>
  <si>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</si>
  <si>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</si>
  <si>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</si>
  <si>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</si>
  <si>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</si>
  <si>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</si>
  <si>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</si>
  <si>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</si>
  <si>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</si>
  <si>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</si>
  <si>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</si>
  <si>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</si>
  <si>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</si>
  <si>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</si>
  <si>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</si>
  <si>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</si>
  <si>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</si>
  <si>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</si>
  <si>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</si>
  <si>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</si>
  <si>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</si>
  <si>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</si>
  <si>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</si>
  <si>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</si>
  <si>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</si>
  <si>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</si>
  <si>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</si>
  <si>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</si>
  <si>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</si>
  <si>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</si>
  <si>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</si>
  <si>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 xml:space="preserve">5222 TEACHER LABOR AGREEMENT VOTED BY TOWN </t>
  </si>
  <si>
    <t>07-01-2009</t>
  </si>
  <si>
    <t>07-01-2012</t>
  </si>
  <si>
    <t>Ventulation work fy 11 $47670.                  see last yrs DOE FY 2011</t>
  </si>
  <si>
    <t>corrections</t>
  </si>
  <si>
    <t>234.34 corrected</t>
  </si>
  <si>
    <t xml:space="preserve">corrected to 207691.        reduced current appropriation 2-1   put here in error </t>
  </si>
  <si>
    <t>agree an appropriation.</t>
  </si>
  <si>
    <t>corrected</t>
  </si>
  <si>
    <t>These where not transferred to the General Fund.   Bal. still in trust funds.  (I get mixed up with Trust funds)</t>
  </si>
  <si>
    <t>THANK YOU</t>
  </si>
  <si>
    <t>Gloria</t>
  </si>
  <si>
    <t>AS CORRECTED    beginning fund balance adjusted to   negative $33,068.50</t>
  </si>
  <si>
    <t>The audited financials are in process, report will be coming in a few weeks if you have question Please email</t>
  </si>
  <si>
    <t>TamarRoberts          troberts@roberts-greene.com</t>
  </si>
  <si>
    <t>Thank you</t>
  </si>
  <si>
    <t>October 18, 2012</t>
  </si>
  <si>
    <t>Monroe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</si>
</sst>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9" zoomScale="75" workbookViewId="0">
      <selection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926</v>
      </c>
      <c r="B2" s="21">
        <v>365</v>
      </c>
      <c r="C2" s="21">
        <v>365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22060.58+100.05+1212.31</f>
        <v>23372.940000000002</v>
      </c>
      <c r="G9" s="18"/>
      <c r="H9" s="18"/>
      <c r="I9" s="18"/>
      <c r="J9" s="67">
        <f>SUM(I438)</f>
        <v>91247.26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11284.66</v>
      </c>
      <c r="G12" s="18">
        <v>8250.56</v>
      </c>
      <c r="H12" s="18">
        <v>-18077.53</v>
      </c>
      <c r="I12" s="18"/>
      <c r="J12" s="67">
        <f>SUM(I440)</f>
        <v>-1457.69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707.96+25.81</f>
        <v>733.77</v>
      </c>
      <c r="H14" s="18">
        <v>18223.240000000002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39790.36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74447.960000000006</v>
      </c>
      <c r="G19" s="41">
        <f>SUM(G9:G18)</f>
        <v>8984.33</v>
      </c>
      <c r="H19" s="41">
        <f>SUM(H9:H18)</f>
        <v>145.71000000000276</v>
      </c>
      <c r="I19" s="41">
        <f>SUM(I9:I18)</f>
        <v>0</v>
      </c>
      <c r="J19" s="41">
        <f>SUM(J9:J18)</f>
        <v>89789.569999999992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106454.04+24110.04</f>
        <v>130564.07999999999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-1443.6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129120.47999999998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-33068.5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8984.33</v>
      </c>
      <c r="H47" s="18">
        <v>145.71</v>
      </c>
      <c r="I47" s="18"/>
      <c r="J47" s="13">
        <f>SUM(I458)</f>
        <v>89789.569999999992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-21604.02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-54672.520000000004</v>
      </c>
      <c r="G50" s="41">
        <f>SUM(G35:G49)</f>
        <v>8984.33</v>
      </c>
      <c r="H50" s="41">
        <f>SUM(H35:H49)</f>
        <v>145.71</v>
      </c>
      <c r="I50" s="41">
        <f>SUM(I35:I49)</f>
        <v>0</v>
      </c>
      <c r="J50" s="41">
        <f>SUM(J35:J49)</f>
        <v>89789.569999999992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74447.959999999977</v>
      </c>
      <c r="G51" s="41">
        <f>G50+G32</f>
        <v>8984.33</v>
      </c>
      <c r="H51" s="41">
        <f>H50+H32</f>
        <v>145.71</v>
      </c>
      <c r="I51" s="41">
        <f>I50+I32</f>
        <v>0</v>
      </c>
      <c r="J51" s="41">
        <f>J50+J32</f>
        <v>89789.569999999992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1920119.88+40000+16029</f>
        <v>1976148.88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121568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2097716.88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457</v>
      </c>
      <c r="G95" s="18"/>
      <c r="H95" s="18"/>
      <c r="I95" s="18"/>
      <c r="J95" s="18">
        <f>8.96+26.84</f>
        <v>35.799999999999997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14835.05+33.2</f>
        <v>14868.25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2502.79+659</f>
        <v>3161.79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3618.79</v>
      </c>
      <c r="G110" s="41">
        <f>SUM(G95:G109)</f>
        <v>14868.25</v>
      </c>
      <c r="H110" s="41">
        <f>SUM(H95:H109)</f>
        <v>0</v>
      </c>
      <c r="I110" s="41">
        <f>SUM(I95:I109)</f>
        <v>0</v>
      </c>
      <c r="J110" s="41">
        <f>SUM(J95:J109)</f>
        <v>35.799999999999997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2101335.67</v>
      </c>
      <c r="G111" s="41">
        <f>G59+G110</f>
        <v>14868.25</v>
      </c>
      <c r="H111" s="41">
        <f>H59+H78+H93+H110</f>
        <v>0</v>
      </c>
      <c r="I111" s="41">
        <f>I59+I110</f>
        <v>0</v>
      </c>
      <c r="J111" s="41">
        <f>J59+J110</f>
        <v>35.799999999999997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270707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207691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973.25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479371.25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479371.25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16160.11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78970.76-16160.11</f>
        <v>62810.649999999994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20696.54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20696.54</v>
      </c>
      <c r="H161" s="41">
        <f>SUM(H149:H160)</f>
        <v>78970.759999999995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180.21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180.21</v>
      </c>
      <c r="G168" s="41">
        <f>G146+G161+SUM(G162:G167)</f>
        <v>20696.54</v>
      </c>
      <c r="H168" s="41">
        <f>H146+H161+SUM(H162:H167)</f>
        <v>78970.759999999995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37438</v>
      </c>
      <c r="H178" s="18"/>
      <c r="I178" s="18"/>
      <c r="J178" s="18">
        <v>102500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37438</v>
      </c>
      <c r="H182" s="41">
        <f>SUM(H178:H181)</f>
        <v>0</v>
      </c>
      <c r="I182" s="41">
        <f>SUM(I178:I181)</f>
        <v>0</v>
      </c>
      <c r="J182" s="41">
        <f>SUM(J178:J181)</f>
        <v>102500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37438</v>
      </c>
      <c r="H191" s="41">
        <f>+H182+SUM(H187:H190)</f>
        <v>0</v>
      </c>
      <c r="I191" s="41">
        <f>I176+I182+SUM(I187:I190)</f>
        <v>0</v>
      </c>
      <c r="J191" s="41">
        <f>J182</f>
        <v>102500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2580887.13</v>
      </c>
      <c r="G192" s="47">
        <f>G111+G139+G168+G191</f>
        <v>73002.790000000008</v>
      </c>
      <c r="H192" s="47">
        <f>H111+H139+H168+H191</f>
        <v>78970.759999999995</v>
      </c>
      <c r="I192" s="47">
        <f>I111+I139+I168+I191</f>
        <v>0</v>
      </c>
      <c r="J192" s="47">
        <f>J111+J139+J191</f>
        <v>102535.8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429484.48</v>
      </c>
      <c r="G196" s="18">
        <v>197473.9</v>
      </c>
      <c r="H196" s="18">
        <f>17825.75+81.22+545525-545525</f>
        <v>17906.969999999972</v>
      </c>
      <c r="I196" s="18">
        <v>18131.64</v>
      </c>
      <c r="J196" s="18">
        <v>4135.04</v>
      </c>
      <c r="K196" s="18">
        <v>92.06</v>
      </c>
      <c r="L196" s="19">
        <f>SUM(F196:K196)</f>
        <v>667224.09000000008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95728.29</f>
        <v>95728.29</v>
      </c>
      <c r="G197" s="18">
        <f>54642.25</f>
        <v>54642.25</v>
      </c>
      <c r="H197" s="18">
        <f>24936.44+211203.98-213444.5-3346.5</f>
        <v>19349.420000000013</v>
      </c>
      <c r="I197" s="18">
        <v>1080.2</v>
      </c>
      <c r="J197" s="18">
        <v>807.85</v>
      </c>
      <c r="K197" s="18">
        <v>140.44999999999999</v>
      </c>
      <c r="L197" s="19">
        <f>SUM(F197:K197)</f>
        <v>171748.46000000002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>
        <v>0</v>
      </c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1625</v>
      </c>
      <c r="G199" s="18">
        <v>219.82</v>
      </c>
      <c r="H199" s="18">
        <f>1210+34.8</f>
        <v>1244.8</v>
      </c>
      <c r="I199" s="18">
        <v>2237.36</v>
      </c>
      <c r="J199" s="18"/>
      <c r="K199" s="18">
        <v>585</v>
      </c>
      <c r="L199" s="19">
        <f>SUM(F199:K199)</f>
        <v>5911.98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12270.29</v>
      </c>
      <c r="G201" s="18">
        <v>1228.68</v>
      </c>
      <c r="H201" s="18">
        <v>84107.03</v>
      </c>
      <c r="I201" s="18">
        <v>207.05</v>
      </c>
      <c r="J201" s="18">
        <v>0</v>
      </c>
      <c r="K201" s="18">
        <v>1805.75</v>
      </c>
      <c r="L201" s="19">
        <f t="shared" ref="L201:L207" si="0">SUM(F201:K201)</f>
        <v>99618.8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37220.99</v>
      </c>
      <c r="G202" s="18">
        <v>18725.240000000002</v>
      </c>
      <c r="H202" s="18">
        <v>6968.8</v>
      </c>
      <c r="I202" s="18">
        <v>1118.25</v>
      </c>
      <c r="J202" s="18">
        <v>549.99</v>
      </c>
      <c r="K202" s="18">
        <v>10</v>
      </c>
      <c r="L202" s="19">
        <f t="shared" si="0"/>
        <v>64593.27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122344.37</v>
      </c>
      <c r="G203" s="18">
        <v>53576.67</v>
      </c>
      <c r="H203" s="18">
        <v>48307.86</v>
      </c>
      <c r="I203" s="18">
        <v>14352.55</v>
      </c>
      <c r="J203" s="18">
        <v>0</v>
      </c>
      <c r="K203" s="18">
        <v>6574.24</v>
      </c>
      <c r="L203" s="19">
        <f t="shared" si="0"/>
        <v>245155.68999999994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66823.12</v>
      </c>
      <c r="G204" s="18">
        <v>30529.55</v>
      </c>
      <c r="H204" s="18">
        <v>0</v>
      </c>
      <c r="I204" s="18">
        <v>302.38</v>
      </c>
      <c r="J204" s="18">
        <v>0</v>
      </c>
      <c r="K204" s="18">
        <v>0</v>
      </c>
      <c r="L204" s="19">
        <f t="shared" si="0"/>
        <v>97655.05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26520.78</v>
      </c>
      <c r="G206" s="18">
        <v>12475.84</v>
      </c>
      <c r="H206" s="18">
        <v>32156.83</v>
      </c>
      <c r="I206" s="18">
        <v>58767.62</v>
      </c>
      <c r="J206" s="18">
        <v>3884</v>
      </c>
      <c r="K206" s="18">
        <v>150</v>
      </c>
      <c r="L206" s="19">
        <f t="shared" si="0"/>
        <v>133955.07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53886.54+3346.5</f>
        <v>57233.04</v>
      </c>
      <c r="I207" s="18"/>
      <c r="J207" s="18"/>
      <c r="K207" s="18"/>
      <c r="L207" s="19">
        <f t="shared" si="0"/>
        <v>57233.04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792017.32000000007</v>
      </c>
      <c r="G210" s="41">
        <f t="shared" si="1"/>
        <v>368871.95</v>
      </c>
      <c r="H210" s="41">
        <f t="shared" si="1"/>
        <v>267274.75</v>
      </c>
      <c r="I210" s="41">
        <f t="shared" si="1"/>
        <v>96197.05</v>
      </c>
      <c r="J210" s="41">
        <f t="shared" si="1"/>
        <v>9376.880000000001</v>
      </c>
      <c r="K210" s="41">
        <f t="shared" si="1"/>
        <v>9357.5</v>
      </c>
      <c r="L210" s="41">
        <f t="shared" si="1"/>
        <v>1543095.4500000002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59900+485625</f>
        <v>545525</v>
      </c>
      <c r="I232" s="18"/>
      <c r="J232" s="18"/>
      <c r="K232" s="18"/>
      <c r="L232" s="19">
        <f>SUM(F232:K232)</f>
        <v>545525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213444.5-13259.56</f>
        <v>200184.94</v>
      </c>
      <c r="I233" s="18"/>
      <c r="J233" s="18"/>
      <c r="K233" s="18"/>
      <c r="L233" s="19">
        <f>SUM(F233:K233)</f>
        <v>200184.94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14259.31</v>
      </c>
      <c r="I234" s="18"/>
      <c r="J234" s="18"/>
      <c r="K234" s="18"/>
      <c r="L234" s="19">
        <f>SUM(F234:K234)</f>
        <v>14259.31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800+14365.34</f>
        <v>15165.34</v>
      </c>
      <c r="I237" s="18"/>
      <c r="J237" s="18"/>
      <c r="K237" s="18"/>
      <c r="L237" s="19">
        <f t="shared" ref="L237:L243" si="4">SUM(F237:K237)</f>
        <v>15165.34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57053.55+13259.56</f>
        <v>70313.11</v>
      </c>
      <c r="I243" s="18"/>
      <c r="J243" s="18"/>
      <c r="K243" s="18"/>
      <c r="L243" s="19">
        <f t="shared" si="4"/>
        <v>70313.11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845447.7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845447.7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32970</v>
      </c>
      <c r="I254" s="18"/>
      <c r="J254" s="18"/>
      <c r="K254" s="18"/>
      <c r="L254" s="19">
        <f t="shared" si="6"/>
        <v>32970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32970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32970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792017.32000000007</v>
      </c>
      <c r="G256" s="41">
        <f t="shared" si="8"/>
        <v>368871.95</v>
      </c>
      <c r="H256" s="41">
        <f t="shared" si="8"/>
        <v>1145692.45</v>
      </c>
      <c r="I256" s="41">
        <f t="shared" si="8"/>
        <v>96197.05</v>
      </c>
      <c r="J256" s="41">
        <f t="shared" si="8"/>
        <v>9376.880000000001</v>
      </c>
      <c r="K256" s="41">
        <f t="shared" si="8"/>
        <v>9357.5</v>
      </c>
      <c r="L256" s="41">
        <f t="shared" si="8"/>
        <v>2421513.1500000004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36000</v>
      </c>
      <c r="L259" s="19">
        <f>SUM(F259:K259)</f>
        <v>36000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5040</v>
      </c>
      <c r="L260" s="19">
        <f>SUM(F260:K260)</f>
        <v>5040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37438</v>
      </c>
      <c r="L262" s="19">
        <f>SUM(F262:K262)</f>
        <v>37438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102500</v>
      </c>
      <c r="L265" s="19">
        <f t="shared" si="9"/>
        <v>102500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180978</v>
      </c>
      <c r="L269" s="41">
        <f t="shared" si="9"/>
        <v>180978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792017.32000000007</v>
      </c>
      <c r="G270" s="42">
        <f t="shared" si="11"/>
        <v>368871.95</v>
      </c>
      <c r="H270" s="42">
        <f t="shared" si="11"/>
        <v>1145692.45</v>
      </c>
      <c r="I270" s="42">
        <f t="shared" si="11"/>
        <v>96197.05</v>
      </c>
      <c r="J270" s="42">
        <f t="shared" si="11"/>
        <v>9376.880000000001</v>
      </c>
      <c r="K270" s="42">
        <f t="shared" si="11"/>
        <v>190335.5</v>
      </c>
      <c r="L270" s="42">
        <f t="shared" si="11"/>
        <v>2602491.1500000004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24470.25</v>
      </c>
      <c r="G275" s="18">
        <v>1078.6600000000001</v>
      </c>
      <c r="H275" s="18">
        <v>7530.88</v>
      </c>
      <c r="I275" s="18">
        <v>6158.94</v>
      </c>
      <c r="J275" s="18">
        <v>4553.7700000000004</v>
      </c>
      <c r="K275" s="18">
        <v>165</v>
      </c>
      <c r="L275" s="19">
        <f>SUM(F275:K275)</f>
        <v>43957.5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10396.129999999999</v>
      </c>
      <c r="G276" s="18">
        <v>2499.14</v>
      </c>
      <c r="H276" s="18"/>
      <c r="I276" s="18"/>
      <c r="J276" s="18"/>
      <c r="K276" s="18"/>
      <c r="L276" s="19">
        <f>SUM(F276:K276)</f>
        <v>12895.269999999999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10000+2156.4</f>
        <v>12156.4</v>
      </c>
      <c r="I280" s="18"/>
      <c r="J280" s="18"/>
      <c r="K280" s="18"/>
      <c r="L280" s="19">
        <f t="shared" ref="L280:L286" si="12">SUM(F280:K280)</f>
        <v>12156.4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7290.25</v>
      </c>
      <c r="H281" s="18">
        <v>1821.34</v>
      </c>
      <c r="I281" s="18"/>
      <c r="J281" s="18"/>
      <c r="K281" s="18"/>
      <c r="L281" s="19">
        <f t="shared" si="12"/>
        <v>9111.59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>
        <v>850</v>
      </c>
      <c r="H282" s="18"/>
      <c r="I282" s="18"/>
      <c r="J282" s="18"/>
      <c r="K282" s="18"/>
      <c r="L282" s="19">
        <f t="shared" si="12"/>
        <v>850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34866.379999999997</v>
      </c>
      <c r="G289" s="42">
        <f t="shared" si="13"/>
        <v>11718.05</v>
      </c>
      <c r="H289" s="42">
        <f t="shared" si="13"/>
        <v>21508.62</v>
      </c>
      <c r="I289" s="42">
        <f t="shared" si="13"/>
        <v>6158.94</v>
      </c>
      <c r="J289" s="42">
        <f t="shared" si="13"/>
        <v>4553.7700000000004</v>
      </c>
      <c r="K289" s="42">
        <f t="shared" si="13"/>
        <v>165</v>
      </c>
      <c r="L289" s="41">
        <f t="shared" si="13"/>
        <v>78970.759999999995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34866.379999999997</v>
      </c>
      <c r="G337" s="41">
        <f t="shared" si="20"/>
        <v>11718.05</v>
      </c>
      <c r="H337" s="41">
        <f t="shared" si="20"/>
        <v>21508.62</v>
      </c>
      <c r="I337" s="41">
        <f t="shared" si="20"/>
        <v>6158.94</v>
      </c>
      <c r="J337" s="41">
        <f t="shared" si="20"/>
        <v>4553.7700000000004</v>
      </c>
      <c r="K337" s="41">
        <f t="shared" si="20"/>
        <v>165</v>
      </c>
      <c r="L337" s="41">
        <f t="shared" si="20"/>
        <v>78970.759999999995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34866.379999999997</v>
      </c>
      <c r="G351" s="41">
        <f>G337</f>
        <v>11718.05</v>
      </c>
      <c r="H351" s="41">
        <f>H337</f>
        <v>21508.62</v>
      </c>
      <c r="I351" s="41">
        <f>I337</f>
        <v>6158.94</v>
      </c>
      <c r="J351" s="41">
        <f>J337</f>
        <v>4553.7700000000004</v>
      </c>
      <c r="K351" s="47">
        <f>K337+K350</f>
        <v>165</v>
      </c>
      <c r="L351" s="41">
        <f>L337+L350</f>
        <v>78970.759999999995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24817.040000000001</v>
      </c>
      <c r="G357" s="18">
        <v>19136.78</v>
      </c>
      <c r="H357" s="18">
        <f>2114.23+358.02</f>
        <v>2472.25</v>
      </c>
      <c r="I357" s="18">
        <v>22254.34</v>
      </c>
      <c r="J357" s="18">
        <v>2120.3200000000002</v>
      </c>
      <c r="K357" s="18"/>
      <c r="L357" s="13">
        <f>SUM(F357:K357)</f>
        <v>70800.73000000001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24817.040000000001</v>
      </c>
      <c r="G361" s="47">
        <f t="shared" si="22"/>
        <v>19136.78</v>
      </c>
      <c r="H361" s="47">
        <f t="shared" si="22"/>
        <v>2472.25</v>
      </c>
      <c r="I361" s="47">
        <f t="shared" si="22"/>
        <v>22254.34</v>
      </c>
      <c r="J361" s="47">
        <f t="shared" si="22"/>
        <v>2120.3200000000002</v>
      </c>
      <c r="K361" s="47">
        <f t="shared" si="22"/>
        <v>0</v>
      </c>
      <c r="L361" s="47">
        <f t="shared" si="22"/>
        <v>70800.73000000001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15604.75+3833.45</f>
        <v>19438.2</v>
      </c>
      <c r="G366" s="18"/>
      <c r="H366" s="18"/>
      <c r="I366" s="56">
        <f>SUM(F366:H366)</f>
        <v>19438.2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725.42+2090.72</f>
        <v>2816.14</v>
      </c>
      <c r="G367" s="63"/>
      <c r="H367" s="63"/>
      <c r="I367" s="56">
        <f>SUM(F367:H367)</f>
        <v>2816.14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22254.34</v>
      </c>
      <c r="G368" s="47">
        <f>SUM(G366:G367)</f>
        <v>0</v>
      </c>
      <c r="H368" s="47">
        <f>SUM(H366:H367)</f>
        <v>0</v>
      </c>
      <c r="I368" s="47">
        <f>SUM(I366:I367)</f>
        <v>22254.34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27500</v>
      </c>
      <c r="H388" s="18">
        <v>8.9600000000000009</v>
      </c>
      <c r="I388" s="18"/>
      <c r="J388" s="24" t="s">
        <v>289</v>
      </c>
      <c r="K388" s="24" t="s">
        <v>289</v>
      </c>
      <c r="L388" s="56">
        <f t="shared" si="25"/>
        <v>27508.959999999999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27500</v>
      </c>
      <c r="H392" s="139">
        <f>SUM(H386:H391)</f>
        <v>8.9600000000000009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27508.959999999999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75000</v>
      </c>
      <c r="H397" s="18">
        <v>26.84</v>
      </c>
      <c r="I397" s="18"/>
      <c r="J397" s="24" t="s">
        <v>289</v>
      </c>
      <c r="K397" s="24" t="s">
        <v>289</v>
      </c>
      <c r="L397" s="56">
        <f t="shared" si="26"/>
        <v>75026.84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26.84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75026.84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102500</v>
      </c>
      <c r="H407" s="47">
        <f>H392+H400+H406</f>
        <v>35.799999999999997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102535.79999999999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>
        <v>19552.7</v>
      </c>
      <c r="J414" s="18"/>
      <c r="K414" s="18"/>
      <c r="L414" s="56">
        <f t="shared" si="27"/>
        <v>19552.7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19552.7</v>
      </c>
      <c r="J418" s="139">
        <f t="shared" si="28"/>
        <v>0</v>
      </c>
      <c r="K418" s="139">
        <f t="shared" si="28"/>
        <v>0</v>
      </c>
      <c r="L418" s="47">
        <f t="shared" si="28"/>
        <v>19552.7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19552.7</v>
      </c>
      <c r="J433" s="47">
        <f t="shared" si="32"/>
        <v>0</v>
      </c>
      <c r="K433" s="47">
        <f t="shared" si="32"/>
        <v>0</v>
      </c>
      <c r="L433" s="47">
        <f t="shared" si="32"/>
        <v>19552.7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f>75575.68+15671.58</f>
        <v>91247.26</v>
      </c>
      <c r="G438" s="18"/>
      <c r="H438" s="18"/>
      <c r="I438" s="56">
        <f t="shared" ref="I438:I444" si="33">SUM(F438:H438)</f>
        <v>91247.26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-1457.69</v>
      </c>
      <c r="G440" s="18"/>
      <c r="H440" s="18"/>
      <c r="I440" s="56">
        <f t="shared" si="33"/>
        <v>-1457.69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89789.569999999992</v>
      </c>
      <c r="G445" s="13">
        <f>SUM(G438:G444)</f>
        <v>0</v>
      </c>
      <c r="H445" s="13">
        <f>SUM(H438:H444)</f>
        <v>0</v>
      </c>
      <c r="I445" s="13">
        <f>SUM(I438:I444)</f>
        <v>89789.569999999992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548.84+75026.84+6257.63+7956.26</f>
        <v>89789.569999999992</v>
      </c>
      <c r="G458" s="18"/>
      <c r="H458" s="18"/>
      <c r="I458" s="56">
        <f t="shared" si="34"/>
        <v>89789.569999999992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89789.569999999992</v>
      </c>
      <c r="G459" s="83">
        <f>SUM(G453:G458)</f>
        <v>0</v>
      </c>
      <c r="H459" s="83">
        <f>SUM(H453:H458)</f>
        <v>0</v>
      </c>
      <c r="I459" s="83">
        <f>SUM(I453:I458)</f>
        <v>89789.569999999992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89789.569999999992</v>
      </c>
      <c r="G460" s="42">
        <f>G451+G459</f>
        <v>0</v>
      </c>
      <c r="H460" s="42">
        <f>H451+H459</f>
        <v>0</v>
      </c>
      <c r="I460" s="42">
        <f>I451+I459</f>
        <v>89789.569999999992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-33068.5</v>
      </c>
      <c r="G464" s="18">
        <v>6782.27</v>
      </c>
      <c r="H464" s="18">
        <v>145.71</v>
      </c>
      <c r="I464" s="18"/>
      <c r="J464" s="18">
        <f>548.84+6257.63</f>
        <v>6806.47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2580887.13</v>
      </c>
      <c r="G467" s="18">
        <v>73002.789999999994</v>
      </c>
      <c r="H467" s="18">
        <v>78970.759999999995</v>
      </c>
      <c r="I467" s="18"/>
      <c r="J467" s="18">
        <f>27508.96+75026.84</f>
        <v>102535.79999999999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2580887.13</v>
      </c>
      <c r="G469" s="53">
        <f>SUM(G467:G468)</f>
        <v>73002.789999999994</v>
      </c>
      <c r="H469" s="53">
        <f>SUM(H467:H468)</f>
        <v>78970.759999999995</v>
      </c>
      <c r="I469" s="53">
        <f>SUM(I467:I468)</f>
        <v>0</v>
      </c>
      <c r="J469" s="53">
        <f>SUM(J467:J468)</f>
        <v>102535.79999999999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2602491.15</v>
      </c>
      <c r="G471" s="18">
        <v>70800.73</v>
      </c>
      <c r="H471" s="18">
        <v>78970.759999999995</v>
      </c>
      <c r="I471" s="18"/>
      <c r="J471" s="18">
        <v>19552.7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2602491.15</v>
      </c>
      <c r="G473" s="53">
        <f>SUM(G471:G472)</f>
        <v>70800.73</v>
      </c>
      <c r="H473" s="53">
        <f>SUM(H471:H472)</f>
        <v>78970.759999999995</v>
      </c>
      <c r="I473" s="53">
        <f>SUM(I471:I472)</f>
        <v>0</v>
      </c>
      <c r="J473" s="53">
        <f>SUM(J471:J472)</f>
        <v>19552.7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-54672.520000000019</v>
      </c>
      <c r="G475" s="53">
        <f>(G464+G469)- G473</f>
        <v>8984.3300000000017</v>
      </c>
      <c r="H475" s="53">
        <f>(H464+H469)- H473</f>
        <v>145.7100000000064</v>
      </c>
      <c r="I475" s="53">
        <f>(I464+I469)- I473</f>
        <v>0</v>
      </c>
      <c r="J475" s="53">
        <f>(J464+J469)- J473</f>
        <v>89789.569999999992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180000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10800</v>
      </c>
      <c r="G494" s="18"/>
      <c r="H494" s="18"/>
      <c r="I494" s="18"/>
      <c r="J494" s="18"/>
      <c r="K494" s="53">
        <f>SUM(F494:J494)</f>
        <v>10800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36000</v>
      </c>
      <c r="G496" s="18"/>
      <c r="H496" s="18"/>
      <c r="I496" s="18"/>
      <c r="J496" s="18"/>
      <c r="K496" s="53">
        <f t="shared" si="35"/>
        <v>36000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72000</v>
      </c>
      <c r="G497" s="205"/>
      <c r="H497" s="205"/>
      <c r="I497" s="205"/>
      <c r="J497" s="205"/>
      <c r="K497" s="206">
        <f t="shared" si="35"/>
        <v>72000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3790.36</v>
      </c>
      <c r="G498" s="18"/>
      <c r="H498" s="18"/>
      <c r="I498" s="18"/>
      <c r="J498" s="18"/>
      <c r="K498" s="53">
        <f t="shared" si="35"/>
        <v>3790.36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75790.36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75790.36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36000</v>
      </c>
      <c r="G500" s="205"/>
      <c r="H500" s="205"/>
      <c r="I500" s="205"/>
      <c r="J500" s="205"/>
      <c r="K500" s="206">
        <f t="shared" si="35"/>
        <v>36000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2520</v>
      </c>
      <c r="G501" s="18"/>
      <c r="H501" s="18"/>
      <c r="I501" s="18"/>
      <c r="J501" s="18"/>
      <c r="K501" s="53">
        <f t="shared" si="35"/>
        <v>2520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38520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38520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95728.29+10396.13</f>
        <v>106124.42</v>
      </c>
      <c r="G520" s="18">
        <f>54642.25+2499.14</f>
        <v>57141.39</v>
      </c>
      <c r="H520" s="18">
        <f>24936.44+211203.98-213444.5-3346.5-13259.56</f>
        <v>6089.8600000000133</v>
      </c>
      <c r="I520" s="18">
        <v>1080.2</v>
      </c>
      <c r="J520" s="18">
        <v>807.85</v>
      </c>
      <c r="K520" s="18">
        <v>140.44999999999999</v>
      </c>
      <c r="L520" s="88">
        <f>SUM(F520:K520)</f>
        <v>171384.17000000004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128843.94+84600.56</f>
        <v>213444.5</v>
      </c>
      <c r="I522" s="18"/>
      <c r="J522" s="18"/>
      <c r="K522" s="18"/>
      <c r="L522" s="88">
        <f>SUM(F522:K522)</f>
        <v>213444.5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106124.42</v>
      </c>
      <c r="G523" s="108">
        <f t="shared" ref="G523:L523" si="36">SUM(G520:G522)</f>
        <v>57141.39</v>
      </c>
      <c r="H523" s="108">
        <f t="shared" si="36"/>
        <v>219534.36000000002</v>
      </c>
      <c r="I523" s="108">
        <f t="shared" si="36"/>
        <v>1080.2</v>
      </c>
      <c r="J523" s="108">
        <f t="shared" si="36"/>
        <v>807.85</v>
      </c>
      <c r="K523" s="108">
        <f t="shared" si="36"/>
        <v>140.44999999999999</v>
      </c>
      <c r="L523" s="89">
        <f t="shared" si="36"/>
        <v>384828.67000000004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2750+596.5</f>
        <v>3346.5</v>
      </c>
      <c r="I540" s="18"/>
      <c r="J540" s="18"/>
      <c r="K540" s="18"/>
      <c r="L540" s="88">
        <f>SUM(F540:K540)</f>
        <v>3346.5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13259.56</v>
      </c>
      <c r="I542" s="18"/>
      <c r="J542" s="18"/>
      <c r="K542" s="18"/>
      <c r="L542" s="88">
        <f>SUM(F542:K542)</f>
        <v>13259.56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16606.059999999998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16606.059999999998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106124.42</v>
      </c>
      <c r="G544" s="89">
        <f t="shared" ref="G544:L544" si="41">G523+G528+G533+G538+G543</f>
        <v>57141.39</v>
      </c>
      <c r="H544" s="89">
        <f t="shared" si="41"/>
        <v>236140.42</v>
      </c>
      <c r="I544" s="89">
        <f t="shared" si="41"/>
        <v>1080.2</v>
      </c>
      <c r="J544" s="89">
        <f t="shared" si="41"/>
        <v>807.85</v>
      </c>
      <c r="K544" s="89">
        <f t="shared" si="41"/>
        <v>140.44999999999999</v>
      </c>
      <c r="L544" s="89">
        <f t="shared" si="41"/>
        <v>401434.73000000004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171384.17000000004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3346.5</v>
      </c>
      <c r="K548" s="87">
        <f>SUM(F548:J548)</f>
        <v>174730.67000000004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213444.5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13259.56</v>
      </c>
      <c r="K550" s="87">
        <f>SUM(F550:J550)</f>
        <v>226704.06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384828.67000000004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16606.059999999998</v>
      </c>
      <c r="K551" s="89">
        <f t="shared" si="42"/>
        <v>401434.73000000004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59900</v>
      </c>
      <c r="I574" s="87">
        <f>SUM(F574:H574)</f>
        <v>59900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485625</v>
      </c>
      <c r="I575" s="87">
        <f t="shared" ref="I575:I586" si="47">SUM(F575:H575)</f>
        <v>485625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5054.5</v>
      </c>
      <c r="G578" s="18"/>
      <c r="H578" s="18">
        <v>93395.89</v>
      </c>
      <c r="I578" s="87">
        <f t="shared" si="47"/>
        <v>98450.39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4550</v>
      </c>
      <c r="G579" s="18"/>
      <c r="H579" s="18">
        <v>91275</v>
      </c>
      <c r="I579" s="87">
        <f t="shared" si="47"/>
        <v>95825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14259.31</v>
      </c>
      <c r="I584" s="87">
        <f t="shared" si="47"/>
        <v>14259.31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43574.62+3178.42</f>
        <v>46753.04</v>
      </c>
      <c r="I590" s="18"/>
      <c r="J590" s="18">
        <v>57053.55</v>
      </c>
      <c r="K590" s="104">
        <f t="shared" ref="K590:K596" si="48">SUM(H590:J590)</f>
        <v>103806.59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3346.5</v>
      </c>
      <c r="I591" s="18"/>
      <c r="J591" s="18">
        <v>13259.56</v>
      </c>
      <c r="K591" s="104">
        <f t="shared" si="48"/>
        <v>16606.059999999998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1865.5</v>
      </c>
      <c r="I593" s="18"/>
      <c r="J593" s="18"/>
      <c r="K593" s="104">
        <f t="shared" si="48"/>
        <v>1865.5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5268</v>
      </c>
      <c r="I594" s="18"/>
      <c r="J594" s="18"/>
      <c r="K594" s="104">
        <f t="shared" si="48"/>
        <v>5268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57233.04</v>
      </c>
      <c r="I597" s="108">
        <f>SUM(I590:I596)</f>
        <v>0</v>
      </c>
      <c r="J597" s="108">
        <f>SUM(J590:J596)</f>
        <v>70313.11</v>
      </c>
      <c r="K597" s="108">
        <f>SUM(K590:K596)</f>
        <v>127546.15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13930.65</v>
      </c>
      <c r="I603" s="18"/>
      <c r="J603" s="18"/>
      <c r="K603" s="104">
        <f>SUM(H603:J603)</f>
        <v>13930.65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13930.65</v>
      </c>
      <c r="I604" s="108">
        <f>SUM(I601:I603)</f>
        <v>0</v>
      </c>
      <c r="J604" s="108">
        <f>SUM(J601:J603)</f>
        <v>0</v>
      </c>
      <c r="K604" s="108">
        <f>SUM(K601:K603)</f>
        <v>13930.65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74447.960000000006</v>
      </c>
      <c r="H616" s="109">
        <f>SUM(F51)</f>
        <v>74447.959999999977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8984.33</v>
      </c>
      <c r="H617" s="109">
        <f>SUM(G51)</f>
        <v>8984.33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145.71000000000276</v>
      </c>
      <c r="H618" s="109">
        <f>SUM(H51)</f>
        <v>145.71</v>
      </c>
      <c r="I618" s="121" t="s">
        <v>903</v>
      </c>
      <c r="J618" s="109">
        <f>G618-H618</f>
        <v>2.7569058147491887E-12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89789.569999999992</v>
      </c>
      <c r="H620" s="109">
        <f>SUM(J51)</f>
        <v>89789.569999999992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-54672.520000000004</v>
      </c>
      <c r="H621" s="109">
        <f>F475</f>
        <v>-54672.520000000019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8984.33</v>
      </c>
      <c r="H622" s="109">
        <f>G475</f>
        <v>8984.3300000000017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145.71</v>
      </c>
      <c r="H623" s="109">
        <f>H475</f>
        <v>145.7100000000064</v>
      </c>
      <c r="I623" s="121" t="s">
        <v>103</v>
      </c>
      <c r="J623" s="109">
        <f t="shared" si="50"/>
        <v>-6.3948846218409017E-12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89789.569999999992</v>
      </c>
      <c r="H625" s="109">
        <f>J475</f>
        <v>89789.569999999992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2580887.13</v>
      </c>
      <c r="H626" s="104">
        <f>SUM(F467)</f>
        <v>2580887.13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73002.790000000008</v>
      </c>
      <c r="H627" s="104">
        <f>SUM(G467)</f>
        <v>73002.789999999994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78970.759999999995</v>
      </c>
      <c r="H628" s="104">
        <f>SUM(H467)</f>
        <v>78970.759999999995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102535.8</v>
      </c>
      <c r="H630" s="104">
        <f>SUM(J467)</f>
        <v>102535.79999999999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2602491.1500000004</v>
      </c>
      <c r="H631" s="104">
        <f>SUM(F471)</f>
        <v>2602491.15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78970.759999999995</v>
      </c>
      <c r="H632" s="104">
        <f>SUM(H471)</f>
        <v>78970.759999999995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22254.34</v>
      </c>
      <c r="H633" s="104">
        <f>I368</f>
        <v>22254.34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70800.73000000001</v>
      </c>
      <c r="H634" s="104">
        <f>SUM(G471)</f>
        <v>70800.73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102535.79999999999</v>
      </c>
      <c r="H636" s="164">
        <f>SUM(J467)</f>
        <v>102535.79999999999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19552.7</v>
      </c>
      <c r="H637" s="164">
        <f>SUM(J471)</f>
        <v>19552.7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89789.569999999992</v>
      </c>
      <c r="H638" s="104">
        <f>SUM(F460)</f>
        <v>89789.569999999992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89789.569999999992</v>
      </c>
      <c r="H641" s="104">
        <f>SUM(I460)</f>
        <v>89789.569999999992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35.799999999999997</v>
      </c>
      <c r="H643" s="104">
        <f>H407</f>
        <v>35.799999999999997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102500</v>
      </c>
      <c r="H644" s="104">
        <f>G407</f>
        <v>102500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102535.8</v>
      </c>
      <c r="H645" s="104">
        <f>L407</f>
        <v>102535.79999999999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127546.15</v>
      </c>
      <c r="H646" s="104">
        <f>L207+L225+L243</f>
        <v>127546.15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13930.65</v>
      </c>
      <c r="H647" s="104">
        <f>(J256+J337)-(J254+J335)</f>
        <v>13930.650000000001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57233.04</v>
      </c>
      <c r="H648" s="104">
        <f>H597</f>
        <v>57233.04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70313.11</v>
      </c>
      <c r="H650" s="104">
        <f>J597</f>
        <v>70313.11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37438</v>
      </c>
      <c r="H651" s="104">
        <f>K262+K344</f>
        <v>37438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102500</v>
      </c>
      <c r="H654" s="104">
        <f>K265+K346</f>
        <v>102500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1692866.9400000002</v>
      </c>
      <c r="G659" s="19">
        <f>(L228+L308+L358)</f>
        <v>0</v>
      </c>
      <c r="H659" s="19">
        <f>(L246+L327+L359)</f>
        <v>845447.7</v>
      </c>
      <c r="I659" s="19">
        <f>SUM(F659:H659)</f>
        <v>2538314.64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14868.25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14868.25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57233.04</v>
      </c>
      <c r="G661" s="19">
        <f>(L225+L305)-(J225+J305)</f>
        <v>0</v>
      </c>
      <c r="H661" s="19">
        <f>(L243+L324)-(J243+J324)</f>
        <v>70313.11</v>
      </c>
      <c r="I661" s="19">
        <f>SUM(F661:H661)</f>
        <v>127546.15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23535.15</v>
      </c>
      <c r="G662" s="200">
        <f>SUM(G574:G586)+SUM(I601:I603)+L611</f>
        <v>0</v>
      </c>
      <c r="H662" s="200">
        <f>SUM(H574:H586)+SUM(J601:J603)+L612</f>
        <v>744455.20000000007</v>
      </c>
      <c r="I662" s="19">
        <f>SUM(F662:H662)</f>
        <v>767990.35000000009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1597230.5000000002</v>
      </c>
      <c r="G663" s="19">
        <f>G659-SUM(G660:G662)</f>
        <v>0</v>
      </c>
      <c r="H663" s="19">
        <f>H659-SUM(H660:H662)</f>
        <v>30679.389999999898</v>
      </c>
      <c r="I663" s="19">
        <f>I659-SUM(I660:I662)</f>
        <v>1627909.8900000001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70.23</v>
      </c>
      <c r="G664" s="249"/>
      <c r="H664" s="249"/>
      <c r="I664" s="19">
        <f>SUM(F664:H664)</f>
        <v>70.23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22742.85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23179.69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-30679.39</v>
      </c>
      <c r="I668" s="19">
        <f>SUM(F668:H668)</f>
        <v>-30679.39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22742.85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22742.85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&amp;L&amp;Z&amp;F&amp;CPage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Monroe SD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453954.73</v>
      </c>
      <c r="C9" s="230">
        <f>'DOE25'!G196+'DOE25'!G214+'DOE25'!G232+'DOE25'!G275+'DOE25'!G294+'DOE25'!G313</f>
        <v>198552.56</v>
      </c>
    </row>
    <row r="10" spans="1:3" x14ac:dyDescent="0.2">
      <c r="A10" t="s">
        <v>779</v>
      </c>
      <c r="B10" s="241">
        <f>423492.37+24470.25</f>
        <v>447962.62</v>
      </c>
      <c r="C10" s="241">
        <v>195772.82</v>
      </c>
    </row>
    <row r="11" spans="1:3" x14ac:dyDescent="0.2">
      <c r="A11" t="s">
        <v>780</v>
      </c>
      <c r="B11" s="241">
        <v>0</v>
      </c>
      <c r="C11" s="241"/>
    </row>
    <row r="12" spans="1:3" x14ac:dyDescent="0.2">
      <c r="A12" t="s">
        <v>781</v>
      </c>
      <c r="B12" s="241">
        <v>5992.11</v>
      </c>
      <c r="C12" s="241">
        <v>2779.74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453954.73</v>
      </c>
      <c r="C13" s="232">
        <f>SUM(C10:C12)</f>
        <v>198552.56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106124.42</v>
      </c>
      <c r="C18" s="230">
        <f>'DOE25'!G197+'DOE25'!G215+'DOE25'!G233+'DOE25'!G276+'DOE25'!G295+'DOE25'!G314</f>
        <v>57141.39</v>
      </c>
    </row>
    <row r="19" spans="1:3" x14ac:dyDescent="0.2">
      <c r="A19" t="s">
        <v>779</v>
      </c>
      <c r="B19" s="241">
        <f>39939.21+100</f>
        <v>40039.21</v>
      </c>
      <c r="C19" s="241">
        <v>21713.73</v>
      </c>
    </row>
    <row r="20" spans="1:3" x14ac:dyDescent="0.2">
      <c r="A20" t="s">
        <v>780</v>
      </c>
      <c r="B20" s="241">
        <f>48016.96+10296.13</f>
        <v>58313.09</v>
      </c>
      <c r="C20" s="241">
        <v>31427.759999999998</v>
      </c>
    </row>
    <row r="21" spans="1:3" x14ac:dyDescent="0.2">
      <c r="A21" t="s">
        <v>781</v>
      </c>
      <c r="B21" s="241">
        <v>7772.12</v>
      </c>
      <c r="C21" s="241">
        <v>3999.9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106124.41999999998</v>
      </c>
      <c r="C22" s="232">
        <f>SUM(C19:C21)</f>
        <v>57141.39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>
        <v>0</v>
      </c>
      <c r="C28" s="241"/>
    </row>
    <row r="29" spans="1:3" x14ac:dyDescent="0.2">
      <c r="A29" t="s">
        <v>780</v>
      </c>
      <c r="B29" s="241">
        <v>0</v>
      </c>
      <c r="C29" s="241"/>
    </row>
    <row r="30" spans="1:3" x14ac:dyDescent="0.2">
      <c r="A30" t="s">
        <v>781</v>
      </c>
      <c r="B30" s="241">
        <v>0</v>
      </c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1625</v>
      </c>
      <c r="C36" s="236">
        <f>'DOE25'!G199+'DOE25'!G217+'DOE25'!G235+'DOE25'!G278+'DOE25'!G297+'DOE25'!G316</f>
        <v>219.82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1625</v>
      </c>
      <c r="C39" s="241">
        <v>219.82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1625</v>
      </c>
      <c r="C40" s="232">
        <f>SUM(C37:C39)</f>
        <v>219.82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C25" sqref="C2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Monroe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1604853.78</v>
      </c>
      <c r="D5" s="20">
        <f>SUM('DOE25'!L196:L199)+SUM('DOE25'!L214:L217)+SUM('DOE25'!L232:L235)-F5-G5</f>
        <v>1599093.3800000001</v>
      </c>
      <c r="E5" s="244"/>
      <c r="F5" s="256">
        <f>SUM('DOE25'!J196:J199)+SUM('DOE25'!J214:J217)+SUM('DOE25'!J232:J235)</f>
        <v>4942.8900000000003</v>
      </c>
      <c r="G5" s="53">
        <f>SUM('DOE25'!K196:K199)+SUM('DOE25'!K214:K217)+SUM('DOE25'!K232:K235)</f>
        <v>817.51</v>
      </c>
      <c r="H5" s="260"/>
    </row>
    <row r="6" spans="1:9" x14ac:dyDescent="0.2">
      <c r="A6" s="32">
        <v>2100</v>
      </c>
      <c r="B6" t="s">
        <v>801</v>
      </c>
      <c r="C6" s="246">
        <f t="shared" si="0"/>
        <v>114784.14</v>
      </c>
      <c r="D6" s="20">
        <f>'DOE25'!L201+'DOE25'!L219+'DOE25'!L237-F6-G6</f>
        <v>112978.39</v>
      </c>
      <c r="E6" s="244"/>
      <c r="F6" s="256">
        <f>'DOE25'!J201+'DOE25'!J219+'DOE25'!J237</f>
        <v>0</v>
      </c>
      <c r="G6" s="53">
        <f>'DOE25'!K201+'DOE25'!K219+'DOE25'!K237</f>
        <v>1805.75</v>
      </c>
      <c r="H6" s="260"/>
    </row>
    <row r="7" spans="1:9" x14ac:dyDescent="0.2">
      <c r="A7" s="32">
        <v>2200</v>
      </c>
      <c r="B7" t="s">
        <v>834</v>
      </c>
      <c r="C7" s="246">
        <f t="shared" si="0"/>
        <v>64593.27</v>
      </c>
      <c r="D7" s="20">
        <f>'DOE25'!L202+'DOE25'!L220+'DOE25'!L238-F7-G7</f>
        <v>64033.279999999999</v>
      </c>
      <c r="E7" s="244"/>
      <c r="F7" s="256">
        <f>'DOE25'!J202+'DOE25'!J220+'DOE25'!J238</f>
        <v>549.99</v>
      </c>
      <c r="G7" s="53">
        <f>'DOE25'!K202+'DOE25'!K220+'DOE25'!K238</f>
        <v>10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135792.75999999995</v>
      </c>
      <c r="D8" s="244"/>
      <c r="E8" s="20">
        <f>'DOE25'!L203+'DOE25'!L221+'DOE25'!L239-F8-G8-D9-D11</f>
        <v>129218.51999999995</v>
      </c>
      <c r="F8" s="256">
        <f>'DOE25'!J203+'DOE25'!J221+'DOE25'!J239</f>
        <v>0</v>
      </c>
      <c r="G8" s="53">
        <f>'DOE25'!K203+'DOE25'!K221+'DOE25'!K239</f>
        <v>6574.24</v>
      </c>
      <c r="H8" s="260"/>
    </row>
    <row r="9" spans="1:9" x14ac:dyDescent="0.2">
      <c r="A9" s="32">
        <v>2310</v>
      </c>
      <c r="B9" t="s">
        <v>818</v>
      </c>
      <c r="C9" s="246">
        <f t="shared" si="0"/>
        <v>12010.26</v>
      </c>
      <c r="D9" s="245">
        <v>12010.26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10164.5</v>
      </c>
      <c r="D10" s="244"/>
      <c r="E10" s="245">
        <v>10164.5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97352.67</v>
      </c>
      <c r="D11" s="245">
        <v>97352.67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97655.05</v>
      </c>
      <c r="D12" s="20">
        <f>'DOE25'!L204+'DOE25'!L222+'DOE25'!L240-F12-G12</f>
        <v>97655.05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133955.07</v>
      </c>
      <c r="D14" s="20">
        <f>'DOE25'!L206+'DOE25'!L224+'DOE25'!L242-F14-G14</f>
        <v>129921.07</v>
      </c>
      <c r="E14" s="244"/>
      <c r="F14" s="256">
        <f>'DOE25'!J206+'DOE25'!J224+'DOE25'!J242</f>
        <v>3884</v>
      </c>
      <c r="G14" s="53">
        <f>'DOE25'!K206+'DOE25'!K224+'DOE25'!K242</f>
        <v>150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127546.15</v>
      </c>
      <c r="D15" s="20">
        <f>'DOE25'!L207+'DOE25'!L225+'DOE25'!L243-F15-G15</f>
        <v>127546.15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32970</v>
      </c>
      <c r="D22" s="244"/>
      <c r="E22" s="244"/>
      <c r="F22" s="256">
        <f>'DOE25'!L254+'DOE25'!L335</f>
        <v>32970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41040</v>
      </c>
      <c r="D25" s="244"/>
      <c r="E25" s="244"/>
      <c r="F25" s="259"/>
      <c r="G25" s="257"/>
      <c r="H25" s="258">
        <f>'DOE25'!L259+'DOE25'!L260+'DOE25'!L340+'DOE25'!L341</f>
        <v>41040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51362.530000000013</v>
      </c>
      <c r="D29" s="20">
        <f>'DOE25'!L357+'DOE25'!L358+'DOE25'!L359-'DOE25'!I366-F29-G29</f>
        <v>49242.210000000014</v>
      </c>
      <c r="E29" s="244"/>
      <c r="F29" s="256">
        <f>'DOE25'!J357+'DOE25'!J358+'DOE25'!J359</f>
        <v>2120.3200000000002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78970.759999999995</v>
      </c>
      <c r="D31" s="20">
        <f>'DOE25'!L289+'DOE25'!L308+'DOE25'!L327+'DOE25'!L332+'DOE25'!L333+'DOE25'!L334-F31-G31</f>
        <v>74251.989999999991</v>
      </c>
      <c r="E31" s="244"/>
      <c r="F31" s="256">
        <f>'DOE25'!J289+'DOE25'!J308+'DOE25'!J327+'DOE25'!J332+'DOE25'!J333+'DOE25'!J334</f>
        <v>4553.7700000000004</v>
      </c>
      <c r="G31" s="53">
        <f>'DOE25'!K289+'DOE25'!K308+'DOE25'!K327+'DOE25'!K332+'DOE25'!K333+'DOE25'!K334</f>
        <v>165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2364084.4500000002</v>
      </c>
      <c r="E33" s="247">
        <f>SUM(E5:E31)</f>
        <v>139383.01999999996</v>
      </c>
      <c r="F33" s="247">
        <f>SUM(F5:F31)</f>
        <v>49020.97</v>
      </c>
      <c r="G33" s="247">
        <f>SUM(G5:G31)</f>
        <v>9522.5</v>
      </c>
      <c r="H33" s="247">
        <f>SUM(H5:H31)</f>
        <v>41040</v>
      </c>
    </row>
    <row r="35" spans="2:8" ht="12" thickBot="1" x14ac:dyDescent="0.25">
      <c r="B35" s="254" t="s">
        <v>847</v>
      </c>
      <c r="D35" s="255">
        <f>E33</f>
        <v>139383.01999999996</v>
      </c>
      <c r="E35" s="250"/>
    </row>
    <row r="36" spans="2:8" ht="12" thickTop="1" x14ac:dyDescent="0.2">
      <c r="B36" t="s">
        <v>815</v>
      </c>
      <c r="D36" s="20">
        <f>D33</f>
        <v>2364084.4500000002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45" activePane="bottomLeft" state="frozen"/>
      <selection pane="bottomLeft" activeCell="C119" sqref="C11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Monroe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23372.940000000002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91247.26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11284.66</v>
      </c>
      <c r="D11" s="95">
        <f>'DOE25'!G12</f>
        <v>8250.56</v>
      </c>
      <c r="E11" s="95">
        <f>'DOE25'!H12</f>
        <v>-18077.53</v>
      </c>
      <c r="F11" s="95">
        <f>'DOE25'!I12</f>
        <v>0</v>
      </c>
      <c r="G11" s="95">
        <f>'DOE25'!J12</f>
        <v>-1457.69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733.77</v>
      </c>
      <c r="E13" s="95">
        <f>'DOE25'!H14</f>
        <v>18223.240000000002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39790.36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74447.960000000006</v>
      </c>
      <c r="D18" s="41">
        <f>SUM(D8:D17)</f>
        <v>8984.33</v>
      </c>
      <c r="E18" s="41">
        <f>SUM(E8:E17)</f>
        <v>145.71000000000276</v>
      </c>
      <c r="F18" s="41">
        <f>SUM(F8:F17)</f>
        <v>0</v>
      </c>
      <c r="G18" s="41">
        <f>SUM(G8:G17)</f>
        <v>89789.569999999992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130564.07999999999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-1443.6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129120.47999999998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-33068.5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8984.33</v>
      </c>
      <c r="E46" s="95">
        <f>'DOE25'!H47</f>
        <v>145.71</v>
      </c>
      <c r="F46" s="95">
        <f>'DOE25'!I47</f>
        <v>0</v>
      </c>
      <c r="G46" s="95">
        <f>'DOE25'!J47</f>
        <v>89789.569999999992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-21604.02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-54672.520000000004</v>
      </c>
      <c r="D49" s="41">
        <f>SUM(D34:D48)</f>
        <v>8984.33</v>
      </c>
      <c r="E49" s="41">
        <f>SUM(E34:E48)</f>
        <v>145.71</v>
      </c>
      <c r="F49" s="41">
        <f>SUM(F34:F48)</f>
        <v>0</v>
      </c>
      <c r="G49" s="41">
        <f>SUM(G34:G48)</f>
        <v>89789.569999999992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74447.959999999977</v>
      </c>
      <c r="D50" s="41">
        <f>D49+D31</f>
        <v>8984.33</v>
      </c>
      <c r="E50" s="41">
        <f>E49+E31</f>
        <v>145.71</v>
      </c>
      <c r="F50" s="41">
        <f>F49+F31</f>
        <v>0</v>
      </c>
      <c r="G50" s="41">
        <f>G49+G31</f>
        <v>89789.569999999992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2097716.88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457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35.799999999999997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14868.25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3161.79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3618.79</v>
      </c>
      <c r="D61" s="130">
        <f>SUM(D56:D60)</f>
        <v>14868.25</v>
      </c>
      <c r="E61" s="130">
        <f>SUM(E56:E60)</f>
        <v>0</v>
      </c>
      <c r="F61" s="130">
        <f>SUM(F56:F60)</f>
        <v>0</v>
      </c>
      <c r="G61" s="130">
        <f>SUM(G56:G60)</f>
        <v>35.799999999999997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2101335.67</v>
      </c>
      <c r="D62" s="22">
        <f>D55+D61</f>
        <v>14868.25</v>
      </c>
      <c r="E62" s="22">
        <f>E55+E61</f>
        <v>0</v>
      </c>
      <c r="F62" s="22">
        <f>F55+F61</f>
        <v>0</v>
      </c>
      <c r="G62" s="22">
        <f>G55+G61</f>
        <v>35.799999999999997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270707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207691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973.25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479371.25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479371.25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20696.54</v>
      </c>
      <c r="E87" s="95">
        <f>SUM('DOE25'!H152:H160)</f>
        <v>78970.759999999995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180.21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180.21</v>
      </c>
      <c r="D90" s="131">
        <f>SUM(D84:D89)</f>
        <v>20696.54</v>
      </c>
      <c r="E90" s="131">
        <f>SUM(E84:E89)</f>
        <v>78970.759999999995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37438</v>
      </c>
      <c r="E95" s="95">
        <f>'DOE25'!H178</f>
        <v>0</v>
      </c>
      <c r="F95" s="95">
        <f>'DOE25'!I178</f>
        <v>0</v>
      </c>
      <c r="G95" s="95">
        <f>'DOE25'!J178</f>
        <v>102500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37438</v>
      </c>
      <c r="E102" s="86">
        <f>SUM(E92:E101)</f>
        <v>0</v>
      </c>
      <c r="F102" s="86">
        <f>SUM(F92:F101)</f>
        <v>0</v>
      </c>
      <c r="G102" s="86">
        <f>SUM(G92:G101)</f>
        <v>102500</v>
      </c>
    </row>
    <row r="103" spans="1:7" ht="12.75" thickTop="1" thickBot="1" x14ac:dyDescent="0.25">
      <c r="A103" s="33" t="s">
        <v>765</v>
      </c>
      <c r="C103" s="86">
        <f>C62+C80+C90+C102</f>
        <v>2580887.13</v>
      </c>
      <c r="D103" s="86">
        <f>D62+D80+D90+D102</f>
        <v>73002.790000000008</v>
      </c>
      <c r="E103" s="86">
        <f>E62+E80+E90+E102</f>
        <v>78970.759999999995</v>
      </c>
      <c r="F103" s="86">
        <f>F62+F80+F90+F102</f>
        <v>0</v>
      </c>
      <c r="G103" s="86">
        <f>G62+G80+G102</f>
        <v>102535.8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1212749.0900000001</v>
      </c>
      <c r="D108" s="24" t="s">
        <v>289</v>
      </c>
      <c r="E108" s="95">
        <f>('DOE25'!L275)+('DOE25'!L294)+('DOE25'!L313)</f>
        <v>43957.5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371933.4</v>
      </c>
      <c r="D109" s="24" t="s">
        <v>289</v>
      </c>
      <c r="E109" s="95">
        <f>('DOE25'!L276)+('DOE25'!L295)+('DOE25'!L314)</f>
        <v>12895.269999999999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14259.31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5911.98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1604853.7800000003</v>
      </c>
      <c r="D114" s="86">
        <f>SUM(D108:D113)</f>
        <v>0</v>
      </c>
      <c r="E114" s="86">
        <f>SUM(E108:E113)</f>
        <v>56852.77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114784.14</v>
      </c>
      <c r="D117" s="24" t="s">
        <v>289</v>
      </c>
      <c r="E117" s="95">
        <f>+('DOE25'!L280)+('DOE25'!L299)+('DOE25'!L318)</f>
        <v>12156.4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64593.27</v>
      </c>
      <c r="D118" s="24" t="s">
        <v>289</v>
      </c>
      <c r="E118" s="95">
        <f>+('DOE25'!L281)+('DOE25'!L300)+('DOE25'!L319)</f>
        <v>9111.59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245155.68999999994</v>
      </c>
      <c r="D119" s="24" t="s">
        <v>289</v>
      </c>
      <c r="E119" s="95">
        <f>+('DOE25'!L282)+('DOE25'!L301)+('DOE25'!L320)</f>
        <v>850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97655.05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133955.07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127546.15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70800.73000000001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783689.37</v>
      </c>
      <c r="D127" s="86">
        <f>SUM(D117:D126)</f>
        <v>70800.73000000001</v>
      </c>
      <c r="E127" s="86">
        <f>SUM(E117:E126)</f>
        <v>22117.989999999998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32970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36000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5040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37438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27508.959999999999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75026.84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-35.799999999988358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213948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2602491.1500000004</v>
      </c>
      <c r="D144" s="86">
        <f>(D114+D127+D143)</f>
        <v>70800.73000000001</v>
      </c>
      <c r="E144" s="86">
        <f>(E114+E127+E143)</f>
        <v>78970.759999999995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07-01-2009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07-01-2012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180000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10800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10800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36000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36000</v>
      </c>
    </row>
    <row r="158" spans="1:9" x14ac:dyDescent="0.2">
      <c r="A158" s="22" t="s">
        <v>35</v>
      </c>
      <c r="B158" s="137">
        <f>'DOE25'!F497</f>
        <v>72000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72000</v>
      </c>
    </row>
    <row r="159" spans="1:9" x14ac:dyDescent="0.2">
      <c r="A159" s="22" t="s">
        <v>36</v>
      </c>
      <c r="B159" s="137">
        <f>'DOE25'!F498</f>
        <v>3790.36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3790.36</v>
      </c>
    </row>
    <row r="160" spans="1:9" x14ac:dyDescent="0.2">
      <c r="A160" s="22" t="s">
        <v>37</v>
      </c>
      <c r="B160" s="137">
        <f>'DOE25'!F499</f>
        <v>75790.36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75790.36</v>
      </c>
    </row>
    <row r="161" spans="1:7" x14ac:dyDescent="0.2">
      <c r="A161" s="22" t="s">
        <v>38</v>
      </c>
      <c r="B161" s="137">
        <f>'DOE25'!F500</f>
        <v>36000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36000</v>
      </c>
    </row>
    <row r="162" spans="1:7" x14ac:dyDescent="0.2">
      <c r="A162" s="22" t="s">
        <v>39</v>
      </c>
      <c r="B162" s="137">
        <f>'DOE25'!F501</f>
        <v>2520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2520</v>
      </c>
    </row>
    <row r="163" spans="1:7" x14ac:dyDescent="0.2">
      <c r="A163" s="22" t="s">
        <v>246</v>
      </c>
      <c r="B163" s="137">
        <f>'DOE25'!F502</f>
        <v>38520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38520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17" sqref="C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Monroe SD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22743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22743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1256707</v>
      </c>
      <c r="D10" s="182">
        <f>ROUND((C10/$C$28)*100,1)</f>
        <v>49.7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384829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14259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5912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126941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73705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246006</v>
      </c>
      <c r="D17" s="182">
        <f t="shared" si="0"/>
        <v>9.6999999999999993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97655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133955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127546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5040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55932.75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2528487.75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32970</v>
      </c>
    </row>
    <row r="30" spans="1:4" x14ac:dyDescent="0.2">
      <c r="B30" s="187" t="s">
        <v>729</v>
      </c>
      <c r="C30" s="180">
        <f>SUM(C28:C29)</f>
        <v>2561457.75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36000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2097717</v>
      </c>
      <c r="D35" s="182">
        <f t="shared" ref="D35:D40" si="1">ROUND((C35/$C$41)*100,1)</f>
        <v>78.3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3654.4699999997392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478398</v>
      </c>
      <c r="D37" s="182">
        <f t="shared" si="1"/>
        <v>17.8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973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99848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2680590.4699999997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35" sqref="C35:M3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Monroe SD</v>
      </c>
      <c r="G2" s="292"/>
      <c r="H2" s="292"/>
      <c r="I2" s="292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9">
        <v>6</v>
      </c>
      <c r="B4" s="220">
        <v>8</v>
      </c>
      <c r="C4" s="282" t="s">
        <v>909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</v>
      </c>
      <c r="B6" s="220">
        <v>3</v>
      </c>
      <c r="C6" s="282" t="s">
        <v>912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 t="s">
        <v>913</v>
      </c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>
        <v>4</v>
      </c>
      <c r="B12" s="220">
        <v>1</v>
      </c>
      <c r="C12" s="282" t="s">
        <v>914</v>
      </c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>
        <v>4</v>
      </c>
      <c r="B14" s="220">
        <v>2</v>
      </c>
      <c r="C14" s="282" t="s">
        <v>915</v>
      </c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>
        <v>6</v>
      </c>
      <c r="B16" s="220">
        <v>8</v>
      </c>
      <c r="C16" s="282" t="s">
        <v>916</v>
      </c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>
        <v>17</v>
      </c>
      <c r="B18" s="220">
        <v>3</v>
      </c>
      <c r="C18" s="282" t="s">
        <v>918</v>
      </c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>
        <v>17</v>
      </c>
      <c r="B19" s="220">
        <v>11</v>
      </c>
      <c r="C19" s="282" t="s">
        <v>918</v>
      </c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>
        <v>21</v>
      </c>
      <c r="B21" s="220">
        <v>1</v>
      </c>
      <c r="C21" s="282" t="s">
        <v>917</v>
      </c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>
        <v>21</v>
      </c>
      <c r="B22" s="220">
        <v>3</v>
      </c>
      <c r="C22" s="282" t="s">
        <v>917</v>
      </c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>
        <v>22</v>
      </c>
      <c r="B23" s="220"/>
      <c r="C23" s="282" t="s">
        <v>917</v>
      </c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>
        <v>21</v>
      </c>
      <c r="B25" s="220">
        <v>17</v>
      </c>
      <c r="C25" s="282" t="s">
        <v>917</v>
      </c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2" t="s">
        <v>919</v>
      </c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2" t="s">
        <v>920</v>
      </c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 t="s">
        <v>925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>
        <v>19</v>
      </c>
      <c r="B36" s="220">
        <v>1</v>
      </c>
      <c r="C36" s="282" t="s">
        <v>921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 t="s">
        <v>922</v>
      </c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2" t="s">
        <v>923</v>
      </c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2" t="s">
        <v>924</v>
      </c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1" t="s">
        <v>848</v>
      </c>
      <c r="B72" s="281"/>
      <c r="C72" s="281"/>
      <c r="D72" s="281"/>
      <c r="E72" s="28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EP40:EZ40"/>
    <mergeCell ref="EC40:EM40"/>
    <mergeCell ref="IP40:IV40"/>
    <mergeCell ref="HP40:HZ40"/>
    <mergeCell ref="FC40:FM40"/>
    <mergeCell ref="FP40:FZ40"/>
    <mergeCell ref="GC40:GM40"/>
    <mergeCell ref="IC40:IM40"/>
    <mergeCell ref="HC40:HM40"/>
    <mergeCell ref="GP40:GZ40"/>
    <mergeCell ref="IC39:IM39"/>
    <mergeCell ref="HP39:HZ39"/>
    <mergeCell ref="HC39:HM39"/>
    <mergeCell ref="FC38:FM38"/>
    <mergeCell ref="GC32:GM32"/>
    <mergeCell ref="IP39:IV39"/>
    <mergeCell ref="IC32:IM32"/>
    <mergeCell ref="IP32:IV32"/>
    <mergeCell ref="HP32:HZ32"/>
    <mergeCell ref="GC38:GM38"/>
    <mergeCell ref="IP38:IV38"/>
    <mergeCell ref="AC38:AM38"/>
    <mergeCell ref="AP38:AZ38"/>
    <mergeCell ref="BP38:BZ38"/>
    <mergeCell ref="CC38:CM38"/>
    <mergeCell ref="BC38:BM38"/>
    <mergeCell ref="EP39:EZ39"/>
    <mergeCell ref="FC39:FM39"/>
    <mergeCell ref="FP39:FZ39"/>
    <mergeCell ref="GP39:GZ39"/>
    <mergeCell ref="GC39:GM39"/>
    <mergeCell ref="GP38:GZ38"/>
    <mergeCell ref="FP38:FZ38"/>
    <mergeCell ref="BP39:BZ39"/>
    <mergeCell ref="CC39:CM39"/>
    <mergeCell ref="CP39:CZ39"/>
    <mergeCell ref="EC29:EM29"/>
    <mergeCell ref="GC29:GM29"/>
    <mergeCell ref="FC29:FM29"/>
    <mergeCell ref="FP29:FZ29"/>
    <mergeCell ref="EP29:EZ29"/>
    <mergeCell ref="DC39:DM39"/>
    <mergeCell ref="P40:Z40"/>
    <mergeCell ref="AC40:AM40"/>
    <mergeCell ref="AP40:AZ40"/>
    <mergeCell ref="CC40:CM40"/>
    <mergeCell ref="BC40:BM40"/>
    <mergeCell ref="BC39:BM39"/>
    <mergeCell ref="DP40:DZ40"/>
    <mergeCell ref="BP40:BZ40"/>
    <mergeCell ref="EC38:EM38"/>
    <mergeCell ref="EP38:EZ38"/>
    <mergeCell ref="DP39:DZ39"/>
    <mergeCell ref="DC38:DM38"/>
    <mergeCell ref="EC39:EM39"/>
    <mergeCell ref="CP40:CZ40"/>
    <mergeCell ref="DC40:DM40"/>
    <mergeCell ref="CP38:CZ38"/>
    <mergeCell ref="DP38:DZ38"/>
    <mergeCell ref="P38:Z38"/>
    <mergeCell ref="HP30:HZ30"/>
    <mergeCell ref="IP30:IV30"/>
    <mergeCell ref="HP29:HZ29"/>
    <mergeCell ref="IC29:IM29"/>
    <mergeCell ref="IP29:IV29"/>
    <mergeCell ref="IC30:IM30"/>
    <mergeCell ref="HC29:HM29"/>
    <mergeCell ref="GP29:GZ29"/>
    <mergeCell ref="EP30:EZ30"/>
    <mergeCell ref="GC30:GM30"/>
    <mergeCell ref="FP30:FZ30"/>
    <mergeCell ref="HC30:HM30"/>
    <mergeCell ref="GP30:GZ30"/>
    <mergeCell ref="IC31:IM31"/>
    <mergeCell ref="IP31:IV31"/>
    <mergeCell ref="EC31:EM31"/>
    <mergeCell ref="GP31:GZ31"/>
    <mergeCell ref="EC32:EM32"/>
    <mergeCell ref="HP31:HZ31"/>
    <mergeCell ref="IC38:IM38"/>
    <mergeCell ref="HP38:HZ38"/>
    <mergeCell ref="HC38:HM38"/>
    <mergeCell ref="FC30:FM30"/>
    <mergeCell ref="GP32:GZ32"/>
    <mergeCell ref="GC31:GM31"/>
    <mergeCell ref="EP32:EZ32"/>
    <mergeCell ref="FP31:FZ31"/>
    <mergeCell ref="EC30:EM30"/>
    <mergeCell ref="HC31:HM31"/>
    <mergeCell ref="FP32:FZ32"/>
    <mergeCell ref="HC32:HM32"/>
    <mergeCell ref="FC32:FM32"/>
    <mergeCell ref="FC31:FM31"/>
    <mergeCell ref="EP31:EZ31"/>
    <mergeCell ref="BP30:BZ30"/>
    <mergeCell ref="BC32:BM32"/>
    <mergeCell ref="AC29:AM29"/>
    <mergeCell ref="DP29:DZ29"/>
    <mergeCell ref="AP31:AZ31"/>
    <mergeCell ref="BC31:BM31"/>
    <mergeCell ref="AP29:AZ29"/>
    <mergeCell ref="BC30:BM30"/>
    <mergeCell ref="DC32:DM32"/>
    <mergeCell ref="DP32:DZ32"/>
    <mergeCell ref="AP32:AZ32"/>
    <mergeCell ref="DC30:DM30"/>
    <mergeCell ref="DP30:DZ30"/>
    <mergeCell ref="DC31:DM31"/>
    <mergeCell ref="DP31:DZ31"/>
    <mergeCell ref="CC32:CM32"/>
    <mergeCell ref="CP32:CZ32"/>
    <mergeCell ref="P39:Z39"/>
    <mergeCell ref="AC32:AM32"/>
    <mergeCell ref="AC39:AM39"/>
    <mergeCell ref="C38:M38"/>
    <mergeCell ref="DC29:DM29"/>
    <mergeCell ref="BP29:BZ29"/>
    <mergeCell ref="CC29:CM29"/>
    <mergeCell ref="AP39:AZ39"/>
    <mergeCell ref="C34:M34"/>
    <mergeCell ref="P32:Z32"/>
    <mergeCell ref="C30:M30"/>
    <mergeCell ref="AP30:AZ30"/>
    <mergeCell ref="P30:Z30"/>
    <mergeCell ref="AC30:AM30"/>
    <mergeCell ref="BC29:BM29"/>
    <mergeCell ref="CC30:CM30"/>
    <mergeCell ref="CP30:CZ30"/>
    <mergeCell ref="AC31:AM31"/>
    <mergeCell ref="CP29:CZ29"/>
    <mergeCell ref="BP31:BZ31"/>
    <mergeCell ref="CC31:CM31"/>
    <mergeCell ref="BP32:BZ32"/>
    <mergeCell ref="CP31:CZ31"/>
    <mergeCell ref="C39:M39"/>
    <mergeCell ref="P29:Z29"/>
    <mergeCell ref="A1:I1"/>
    <mergeCell ref="C3:M3"/>
    <mergeCell ref="C4:M4"/>
    <mergeCell ref="F2:I2"/>
    <mergeCell ref="A2:E2"/>
    <mergeCell ref="C37:M37"/>
    <mergeCell ref="P31:Z31"/>
    <mergeCell ref="C32:M32"/>
    <mergeCell ref="C29:M29"/>
    <mergeCell ref="C5:M5"/>
    <mergeCell ref="C6:M6"/>
    <mergeCell ref="C7:M7"/>
    <mergeCell ref="C22:M22"/>
    <mergeCell ref="C27:M27"/>
    <mergeCell ref="C26:M26"/>
    <mergeCell ref="C20:M20"/>
    <mergeCell ref="C19:M19"/>
    <mergeCell ref="C17:M17"/>
    <mergeCell ref="C8:M8"/>
    <mergeCell ref="C9:M9"/>
    <mergeCell ref="C11:M11"/>
    <mergeCell ref="C63:M63"/>
    <mergeCell ref="C64:M64"/>
    <mergeCell ref="C66:M66"/>
    <mergeCell ref="C59:M59"/>
    <mergeCell ref="C55:M55"/>
    <mergeCell ref="C12:M12"/>
    <mergeCell ref="C18:M18"/>
    <mergeCell ref="C10:M10"/>
    <mergeCell ref="C13:M13"/>
    <mergeCell ref="C16:M16"/>
    <mergeCell ref="C60:M60"/>
    <mergeCell ref="C49:M49"/>
    <mergeCell ref="C46:M46"/>
    <mergeCell ref="C42:M42"/>
    <mergeCell ref="C47:M47"/>
    <mergeCell ref="C45:M45"/>
    <mergeCell ref="C40:M40"/>
    <mergeCell ref="C44:M44"/>
    <mergeCell ref="C43:M43"/>
    <mergeCell ref="C23:M23"/>
    <mergeCell ref="C28:M28"/>
    <mergeCell ref="C33:M33"/>
    <mergeCell ref="C36:M36"/>
    <mergeCell ref="C35:M35"/>
    <mergeCell ref="C67:M67"/>
    <mergeCell ref="C68:M68"/>
    <mergeCell ref="C69:M69"/>
    <mergeCell ref="C70:M70"/>
    <mergeCell ref="C73:M73"/>
    <mergeCell ref="C14:M14"/>
    <mergeCell ref="C15:M15"/>
    <mergeCell ref="C58:M58"/>
    <mergeCell ref="C24:M24"/>
    <mergeCell ref="C25:M25"/>
    <mergeCell ref="C31:M31"/>
    <mergeCell ref="C54:M54"/>
    <mergeCell ref="C41:M41"/>
    <mergeCell ref="C21:M21"/>
    <mergeCell ref="C56:M56"/>
    <mergeCell ref="C51:M51"/>
    <mergeCell ref="C52:M52"/>
    <mergeCell ref="C53:M53"/>
    <mergeCell ref="C57:M57"/>
    <mergeCell ref="C50:M50"/>
    <mergeCell ref="C48:M48"/>
    <mergeCell ref="C65:M65"/>
    <mergeCell ref="C62:M62"/>
    <mergeCell ref="C61:M61"/>
    <mergeCell ref="C84:M84"/>
    <mergeCell ref="C86:M86"/>
    <mergeCell ref="C74:M74"/>
    <mergeCell ref="A72:E72"/>
    <mergeCell ref="C90:M90"/>
    <mergeCell ref="C81:M81"/>
    <mergeCell ref="C82:M82"/>
    <mergeCell ref="C88:M88"/>
    <mergeCell ref="C83:M83"/>
    <mergeCell ref="C85:M85"/>
    <mergeCell ref="C87:M87"/>
    <mergeCell ref="C89:M89"/>
    <mergeCell ref="C77:M77"/>
    <mergeCell ref="C78:M78"/>
    <mergeCell ref="C79:M79"/>
    <mergeCell ref="C80:M80"/>
    <mergeCell ref="C76:M76"/>
    <mergeCell ref="C75:M7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2012-10-18T16:06:43Z</cp:lastPrinted>
  <dcterms:created xsi:type="dcterms:W3CDTF">1997-12-04T19:04:30Z</dcterms:created>
  <dcterms:modified xsi:type="dcterms:W3CDTF">2012-11-21T15:07:25Z</dcterms:modified>
</cp:coreProperties>
</file>