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-90" yWindow="180" windowWidth="17250" windowHeight="108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67" i="1"/>
  <c r="H591" i="1"/>
  <c r="H590" i="1"/>
  <c r="G574" i="1"/>
  <c r="H467" i="1"/>
  <c r="H13" i="1"/>
  <c r="H149" i="1"/>
  <c r="H520" i="1"/>
  <c r="G471" i="1"/>
  <c r="F471" i="1"/>
  <c r="G458" i="1"/>
  <c r="F366" i="1"/>
  <c r="I208" i="1"/>
  <c r="H207" i="1"/>
  <c r="I206" i="1"/>
  <c r="G204" i="1"/>
  <c r="G202" i="1"/>
  <c r="I201" i="1"/>
  <c r="H197" i="1"/>
  <c r="G197" i="1"/>
  <c r="J196" i="1"/>
  <c r="H196" i="1"/>
  <c r="G196" i="1"/>
  <c r="G48" i="1"/>
  <c r="F12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3" i="10"/>
  <c r="C17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0" i="1"/>
  <c r="G660" i="1"/>
  <c r="H660" i="1"/>
  <c r="G661" i="1"/>
  <c r="H661" i="1"/>
  <c r="I668" i="1"/>
  <c r="C6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D90" i="2" s="1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D102" i="2" s="1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0" i="2"/>
  <c r="C111" i="2"/>
  <c r="E111" i="2"/>
  <c r="C112" i="2"/>
  <c r="E112" i="2"/>
  <c r="C113" i="2"/>
  <c r="E113" i="2"/>
  <c r="D114" i="2"/>
  <c r="F114" i="2"/>
  <c r="G114" i="2"/>
  <c r="C118" i="2"/>
  <c r="E118" i="2"/>
  <c r="C119" i="2"/>
  <c r="E119" i="2"/>
  <c r="C120" i="2"/>
  <c r="E120" i="2"/>
  <c r="E121" i="2"/>
  <c r="C122" i="2"/>
  <c r="E123" i="2"/>
  <c r="C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H635" i="1"/>
  <c r="H636" i="1"/>
  <c r="H637" i="1"/>
  <c r="G638" i="1"/>
  <c r="H638" i="1"/>
  <c r="G639" i="1"/>
  <c r="H639" i="1"/>
  <c r="G640" i="1"/>
  <c r="H640" i="1"/>
  <c r="G642" i="1"/>
  <c r="H642" i="1"/>
  <c r="G643" i="1"/>
  <c r="H643" i="1"/>
  <c r="G644" i="1"/>
  <c r="H644" i="1"/>
  <c r="G648" i="1"/>
  <c r="G649" i="1"/>
  <c r="H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I256" i="1"/>
  <c r="I270" i="1" s="1"/>
  <c r="G256" i="1"/>
  <c r="G270" i="1" s="1"/>
  <c r="C26" i="10"/>
  <c r="L327" i="1"/>
  <c r="H659" i="1" s="1"/>
  <c r="H663" i="1" s="1"/>
  <c r="L350" i="1"/>
  <c r="G8" i="2"/>
  <c r="G158" i="2"/>
  <c r="G162" i="2"/>
  <c r="G102" i="2"/>
  <c r="D19" i="13"/>
  <c r="C19" i="13" s="1"/>
  <c r="J653" i="1" l="1"/>
  <c r="J652" i="1"/>
  <c r="J649" i="1"/>
  <c r="G570" i="1"/>
  <c r="G161" i="2"/>
  <c r="E143" i="2"/>
  <c r="C102" i="2"/>
  <c r="E61" i="2"/>
  <c r="E62" i="2" s="1"/>
  <c r="D49" i="2"/>
  <c r="F31" i="2"/>
  <c r="D31" i="2"/>
  <c r="G168" i="1"/>
  <c r="I139" i="1"/>
  <c r="G139" i="1"/>
  <c r="E124" i="2"/>
  <c r="E122" i="2"/>
  <c r="C18" i="10"/>
  <c r="C16" i="10"/>
  <c r="E109" i="2"/>
  <c r="D29" i="13"/>
  <c r="C29" i="13" s="1"/>
  <c r="C21" i="10"/>
  <c r="D12" i="13"/>
  <c r="C12" i="13" s="1"/>
  <c r="C117" i="2"/>
  <c r="C10" i="10"/>
  <c r="C110" i="2"/>
  <c r="C121" i="2"/>
  <c r="E8" i="13"/>
  <c r="C8" i="13" s="1"/>
  <c r="I433" i="1"/>
  <c r="G433" i="1"/>
  <c r="E102" i="2"/>
  <c r="F102" i="2"/>
  <c r="C90" i="2"/>
  <c r="E49" i="2"/>
  <c r="A31" i="12"/>
  <c r="C19" i="10"/>
  <c r="C15" i="10"/>
  <c r="C12" i="10"/>
  <c r="D17" i="13"/>
  <c r="C17" i="13" s="1"/>
  <c r="D15" i="13"/>
  <c r="C15" i="13" s="1"/>
  <c r="D7" i="13"/>
  <c r="C7" i="13" s="1"/>
  <c r="D6" i="13"/>
  <c r="C6" i="13" s="1"/>
  <c r="E13" i="13"/>
  <c r="C13" i="13" s="1"/>
  <c r="F49" i="2"/>
  <c r="G621" i="1"/>
  <c r="C18" i="2"/>
  <c r="F139" i="1"/>
  <c r="J618" i="1"/>
  <c r="A40" i="12"/>
  <c r="I662" i="1"/>
  <c r="F544" i="1"/>
  <c r="L533" i="1"/>
  <c r="L523" i="1"/>
  <c r="J634" i="1"/>
  <c r="J641" i="1"/>
  <c r="C20" i="10"/>
  <c r="E117" i="2"/>
  <c r="L289" i="1"/>
  <c r="F31" i="13"/>
  <c r="C11" i="10"/>
  <c r="C108" i="2"/>
  <c r="D14" i="13"/>
  <c r="C14" i="13" s="1"/>
  <c r="C123" i="2"/>
  <c r="H646" i="1"/>
  <c r="J648" i="1"/>
  <c r="F661" i="1"/>
  <c r="I661" i="1" s="1"/>
  <c r="C109" i="2"/>
  <c r="L210" i="1"/>
  <c r="L256" i="1" s="1"/>
  <c r="L270" i="1" s="1"/>
  <c r="G631" i="1" s="1"/>
  <c r="J631" i="1" s="1"/>
  <c r="C69" i="2"/>
  <c r="D61" i="2"/>
  <c r="D62" i="2" s="1"/>
  <c r="C61" i="2"/>
  <c r="C62" i="2" s="1"/>
  <c r="G51" i="1"/>
  <c r="H617" i="1" s="1"/>
  <c r="J617" i="1" s="1"/>
  <c r="J616" i="1"/>
  <c r="E18" i="2"/>
  <c r="D18" i="2"/>
  <c r="F90" i="2"/>
  <c r="C127" i="2"/>
  <c r="C77" i="2"/>
  <c r="E31" i="2"/>
  <c r="E50" i="2" s="1"/>
  <c r="C31" i="2"/>
  <c r="F77" i="2"/>
  <c r="F80" i="2" s="1"/>
  <c r="F18" i="2"/>
  <c r="G163" i="2"/>
  <c r="G160" i="2"/>
  <c r="G159" i="2"/>
  <c r="G157" i="2"/>
  <c r="G156" i="2"/>
  <c r="G155" i="2"/>
  <c r="E114" i="2"/>
  <c r="F50" i="2"/>
  <c r="A22" i="12"/>
  <c r="D50" i="2"/>
  <c r="G33" i="13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D103" i="2" s="1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C39" i="10" s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C49" i="2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J647" i="1" l="1"/>
  <c r="C80" i="2"/>
  <c r="L544" i="1"/>
  <c r="K551" i="1"/>
  <c r="C28" i="10"/>
  <c r="D15" i="10" s="1"/>
  <c r="C114" i="2"/>
  <c r="F659" i="1"/>
  <c r="F663" i="1" s="1"/>
  <c r="J270" i="1"/>
  <c r="H192" i="1"/>
  <c r="G628" i="1" s="1"/>
  <c r="J628" i="1" s="1"/>
  <c r="C103" i="2"/>
  <c r="C36" i="10"/>
  <c r="C41" i="10" s="1"/>
  <c r="D39" i="10" s="1"/>
  <c r="F192" i="1"/>
  <c r="G626" i="1" s="1"/>
  <c r="J626" i="1" s="1"/>
  <c r="C50" i="2"/>
  <c r="D11" i="10"/>
  <c r="D26" i="10"/>
  <c r="D21" i="10"/>
  <c r="D10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D16" i="10" l="1"/>
  <c r="D17" i="10"/>
  <c r="D13" i="10"/>
  <c r="D25" i="10"/>
  <c r="D12" i="10"/>
  <c r="D19" i="10"/>
  <c r="D27" i="10"/>
  <c r="C30" i="10"/>
  <c r="D20" i="10"/>
  <c r="D18" i="10"/>
  <c r="D23" i="10"/>
  <c r="D22" i="10"/>
  <c r="D24" i="10"/>
  <c r="C144" i="2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8" i="10" l="1"/>
  <c r="D41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<sst xmlns="http://schemas.openxmlformats.org/spreadsheetml/2006/main" count="3944" uniqueCount="911">
  <si>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</si>
  <si>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</si>
  <si>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</si>
  <si>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</si>
  <si>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</si>
  <si>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</si>
  <si>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</si>
  <si>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</si>
  <si>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</si>
  <si>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</si>
  <si>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</si>
  <si>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</si>
  <si>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</si>
  <si>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</si>
  <si>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</si>
  <si>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</si>
  <si>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</si>
  <si>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</si>
  <si>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</si>
  <si>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</si>
  <si>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</si>
  <si>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</si>
  <si>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</si>
  <si>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</si>
  <si>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</si>
  <si>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</si>
  <si>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</si>
  <si>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</si>
  <si>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</si>
  <si>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</si>
  <si>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</si>
  <si>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</si>
  <si>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</si>
  <si>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</si>
  <si>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</si>
  <si>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</si>
  <si>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</si>
  <si>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</si>
  <si>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</si>
  <si>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</si>
  <si>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</si>
  <si>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</si>
  <si>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</si>
  <si>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</si>
  <si>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</si>
  <si>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</si>
  <si>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</si>
  <si>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</si>
  <si>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</si>
  <si>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</si>
  <si>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</si>
  <si>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</si>
  <si>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</si>
  <si>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</si>
  <si>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</si>
  <si>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</si>
  <si>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</si>
  <si>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</si>
  <si>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</si>
  <si>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</si>
  <si>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</si>
  <si>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</si>
  <si>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</si>
  <si>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</si>
  <si>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</si>
  <si>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</si>
  <si>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</si>
  <si>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</si>
  <si>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</si>
  <si>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</si>
  <si>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</si>
  <si>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</si>
  <si>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</si>
  <si>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</si>
  <si>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</si>
  <si>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</si>
  <si>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</si>
  <si>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</si>
  <si>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</si>
  <si>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</si>
  <si>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</si>
  <si>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</si>
  <si>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</si>
  <si>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</si>
  <si>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</si>
  <si>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</si>
  <si>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</si>
  <si>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</si>
  <si>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</si>
  <si>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</si>
  <si>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</si>
  <si>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</si>
  <si>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</si>
  <si>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</si>
  <si>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</si>
  <si>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</si>
  <si>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</si>
  <si>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</si>
  <si>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</si>
  <si>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</si>
  <si>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</si>
  <si>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</si>
  <si>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</si>
  <si>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</si>
  <si>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</si>
  <si>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</si>
  <si>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</si>
  <si>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</si>
  <si>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</si>
  <si>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</si>
  <si>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</si>
  <si>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</si>
  <si>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</si>
  <si>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</si>
  <si>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</si>
  <si>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</si>
  <si>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</si>
  <si>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</si>
  <si>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</si>
  <si>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</si>
  <si>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</si>
  <si>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</si>
  <si>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</si>
  <si>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</si>
  <si>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</si>
  <si>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</si>
  <si>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</si>
  <si>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</si>
  <si>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</si>
  <si>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</si>
  <si>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</si>
  <si>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</si>
  <si>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</si>
  <si>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</si>
  <si>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</si>
  <si>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</si>
  <si>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</si>
  <si>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</si>
  <si>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</si>
  <si>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</si>
  <si>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</si>
  <si>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</si>
  <si>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</si>
  <si>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</si>
  <si>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</si>
  <si>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</si>
  <si>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</si>
  <si>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</si>
  <si>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</si>
  <si>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</si>
  <si>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</si>
  <si>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</si>
  <si>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</si>
  <si>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</si>
  <si>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</si>
  <si>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</si>
  <si>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</si>
  <si>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</si>
  <si>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</si>
  <si>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</si>
  <si>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</si>
  <si>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</si>
  <si>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</si>
  <si>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</si>
  <si>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</si>
  <si>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</si>
  <si>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</si>
  <si>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</si>
  <si>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</si>
  <si>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</si>
  <si>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</si>
  <si>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</si>
  <si>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</si>
  <si>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</si>
  <si>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</si>
  <si>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</si>
  <si>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</si>
  <si>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</si>
  <si>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</si>
  <si>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</si>
  <si>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</si>
  <si>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</si>
  <si>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</si>
  <si>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</si>
  <si>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</si>
  <si>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</si>
  <si>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</si>
  <si>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</si>
  <si>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</si>
  <si>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</si>
  <si>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</si>
  <si>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</si>
  <si>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</si>
  <si>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</si>
  <si>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</si>
  <si>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</si>
  <si>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</si>
  <si>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</si>
  <si>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</si>
  <si>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</si>
  <si>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</si>
  <si>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</si>
  <si>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</si>
  <si>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</si>
  <si>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</si>
  <si>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</si>
  <si>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</si>
  <si>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</si>
  <si>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</si>
  <si>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</si>
  <si>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</si>
  <si>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</si>
  <si>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</si>
  <si>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</si>
  <si>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</si>
  <si>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</si>
  <si>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</si>
  <si>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</si>
  <si>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</si>
  <si>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</si>
  <si>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</si>
  <si>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</si>
  <si>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</si>
  <si>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</si>
  <si>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</si>
  <si>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</si>
  <si>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</si>
  <si>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</si>
  <si>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</si>
  <si>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</si>
  <si>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</si>
  <si>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</si>
  <si>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</si>
  <si>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</si>
  <si>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</si>
  <si>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</si>
  <si>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</si>
  <si>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</si>
  <si>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</si>
  <si>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</si>
  <si>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</si>
  <si>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</si>
  <si>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</si>
  <si>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</si>
  <si>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</si>
  <si>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</si>
  <si>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</si>
  <si>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</si>
  <si>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</si>
  <si>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</si>
  <si>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</si>
  <si>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</si>
  <si>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</si>
  <si>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</si>
  <si>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</si>
  <si>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</si>
  <si>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</si>
  <si>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</si>
  <si>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</si>
  <si>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</si>
  <si>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</si>
  <si>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</si>
  <si>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</si>
  <si>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</si>
  <si>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</si>
  <si>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</si>
  <si>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</si>
  <si>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</si>
  <si>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</si>
  <si>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</si>
  <si>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</si>
  <si>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</si>
  <si>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</si>
  <si>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</si>
  <si>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</si>
  <si>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</si>
  <si>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</si>
  <si>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</si>
  <si>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</si>
  <si>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</si>
  <si>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</si>
  <si>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</si>
  <si>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</si>
  <si>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</si>
  <si>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</si>
  <si>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</si>
  <si>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</si>
  <si>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</si>
  <si>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</si>
  <si>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</si>
  <si>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</si>
  <si>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</si>
  <si>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</si>
  <si>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</si>
  <si>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</si>
  <si>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</si>
  <si>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</si>
  <si>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</si>
  <si>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</si>
  <si>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</si>
  <si>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</si>
  <si>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</si>
  <si>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</si>
  <si>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</si>
  <si>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</si>
  <si>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</si>
  <si>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</si>
  <si>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</si>
  <si>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</si>
  <si>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</si>
  <si>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</si>
  <si>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</si>
  <si>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</si>
  <si>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</si>
  <si>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</si>
  <si>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</si>
  <si>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</si>
  <si>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</si>
  <si>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</si>
  <si>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</si>
  <si>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</si>
  <si>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</si>
  <si>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</si>
  <si>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</si>
  <si>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</si>
  <si>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</si>
  <si>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</si>
  <si>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</si>
  <si>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</si>
  <si>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</si>
  <si>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</si>
  <si>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</si>
  <si>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</si>
  <si>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</si>
  <si>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</si>
  <si>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</si>
  <si>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</si>
  <si>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</si>
  <si>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</si>
  <si>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</si>
  <si>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</si>
  <si>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</si>
  <si>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</si>
  <si>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</si>
  <si>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</si>
  <si>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</si>
  <si>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</si>
  <si>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</si>
  <si>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</si>
  <si>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</si>
  <si>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</si>
  <si>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</si>
  <si>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</si>
  <si>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</si>
  <si>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</si>
  <si>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</si>
  <si>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</si>
  <si>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</si>
  <si>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</si>
  <si>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</si>
  <si>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</si>
  <si>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</si>
  <si>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</si>
  <si>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</si>
  <si>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</si>
  <si>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</si>
  <si>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</si>
  <si>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</si>
  <si>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</si>
  <si>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</si>
  <si>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</si>
  <si>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</si>
  <si>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</si>
  <si>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</si>
  <si>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</si>
  <si>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</si>
  <si>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</si>
  <si>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</si>
  <si>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</si>
  <si>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</si>
  <si>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</si>
  <si>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</si>
  <si>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</si>
  <si>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</si>
  <si>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</si>
  <si>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</si>
  <si>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</si>
  <si>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</si>
  <si>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</si>
  <si>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</si>
  <si>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</si>
  <si>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</si>
  <si>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</si>
  <si>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</si>
  <si>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</si>
  <si>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</si>
  <si>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</si>
  <si>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</si>
  <si>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</si>
  <si>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</si>
  <si>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</si>
  <si>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</si>
  <si>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</si>
  <si>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</si>
  <si>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</si>
  <si>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</si>
  <si>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</si>
  <si>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</si>
  <si>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</si>
  <si>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</si>
  <si>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</si>
  <si>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</si>
  <si>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</si>
  <si>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</si>
  <si>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</si>
  <si>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</si>
  <si>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</si>
  <si>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</si>
  <si>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</si>
  <si>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</si>
  <si>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</si>
  <si>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</si>
  <si>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</si>
  <si>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</si>
  <si>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</si>
  <si>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</si>
  <si>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</si>
  <si>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</si>
  <si>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</si>
  <si>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</si>
  <si>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</si>
  <si>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</si>
  <si>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</si>
  <si>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</si>
  <si>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</si>
  <si>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</si>
  <si>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</si>
  <si>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</si>
  <si>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</si>
  <si>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</si>
  <si>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</si>
  <si>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</si>
  <si>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</si>
  <si>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</si>
  <si>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</si>
  <si>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</si>
  <si>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</si>
  <si>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</si>
  <si>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</si>
  <si>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</si>
  <si>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</si>
  <si>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</si>
  <si>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</si>
  <si>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</si>
  <si>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</si>
  <si>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</si>
  <si>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</si>
  <si>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</si>
  <si>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</si>
  <si>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</si>
  <si>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</si>
  <si>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</si>
  <si>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</si>
  <si>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</si>
  <si>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</si>
  <si>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</si>
  <si>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</si>
  <si>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</si>
  <si>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</si>
  <si>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</si>
  <si>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</si>
  <si>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</si>
  <si>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</si>
  <si>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</si>
  <si>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</si>
  <si>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</si>
  <si>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</si>
  <si>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</si>
  <si>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</si>
  <si>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</si>
  <si>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</si>
  <si>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</si>
  <si>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</si>
  <si>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</si>
  <si>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</si>
  <si>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</si>
  <si>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</si>
  <si>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</si>
  <si>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</si>
  <si>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</si>
  <si>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</si>
  <si>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</si>
  <si>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</si>
  <si>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</si>
  <si>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</si>
  <si>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</si>
  <si>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</si>
  <si>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</si>
  <si>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</si>
  <si>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</si>
  <si>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</si>
  <si>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</si>
  <si>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</si>
  <si>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</si>
  <si>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</si>
  <si>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</si>
  <si>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</si>
  <si>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</si>
  <si>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</si>
  <si>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</si>
  <si>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</si>
  <si>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</si>
  <si>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</si>
  <si>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</si>
  <si>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</si>
  <si>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</si>
  <si>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</si>
  <si>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</si>
  <si>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</si>
  <si>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</si>
  <si>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</si>
  <si>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</si>
  <si>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</si>
  <si>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</si>
  <si>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</si>
  <si>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</si>
  <si>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</si>
  <si>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</si>
  <si>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</si>
  <si>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</si>
  <si>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</si>
  <si>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</si>
  <si>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</si>
  <si>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</si>
  <si>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</si>
  <si>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</si>
  <si>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</si>
  <si>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</si>
  <si>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</si>
  <si>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</si>
  <si>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</si>
  <si>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</si>
  <si>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</si>
  <si>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</si>
  <si>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</si>
  <si>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</si>
  <si>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</si>
  <si>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</si>
  <si>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</si>
  <si>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</si>
  <si>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</si>
  <si>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</si>
  <si>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</si>
  <si>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</si>
  <si>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</si>
  <si>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</si>
  <si>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</si>
  <si>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</si>
  <si>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</si>
  <si>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</si>
  <si>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</si>
  <si>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</si>
  <si>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</si>
  <si>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</si>
  <si>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</si>
  <si>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</si>
  <si>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</si>
  <si>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</si>
  <si>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</si>
  <si>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</si>
  <si>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</si>
  <si>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</si>
  <si>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</si>
  <si>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</si>
  <si>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</si>
  <si>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</si>
  <si>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</si>
  <si>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</si>
  <si>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</si>
  <si>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</si>
  <si>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</si>
  <si>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</si>
  <si>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</si>
  <si>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</si>
  <si>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</si>
  <si>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</si>
  <si>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</si>
  <si>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</si>
  <si>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</si>
  <si>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</si>
  <si>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</si>
  <si>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</si>
  <si>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</si>
  <si>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</si>
  <si>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</si>
  <si>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</si>
  <si>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</si>
  <si>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</si>
  <si>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</si>
  <si>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</si>
  <si>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</si>
  <si>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</si>
  <si>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</si>
  <si>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</si>
  <si>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</si>
  <si>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</si>
  <si>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</si>
  <si>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</si>
  <si>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</si>
  <si>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</si>
  <si>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</si>
  <si>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</si>
  <si>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</si>
  <si>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</si>
  <si>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</si>
  <si>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</si>
  <si>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</si>
  <si>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</si>
  <si>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</si>
  <si>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</si>
  <si>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</si>
  <si>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</si>
  <si>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</si>
  <si>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</si>
  <si>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</si>
  <si>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</si>
  <si>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</si>
  <si>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</si>
  <si>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</si>
  <si>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</si>
  <si>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</si>
  <si>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</si>
  <si>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</si>
  <si>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</si>
  <si>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</si>
  <si>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</si>
  <si>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</si>
  <si>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</si>
  <si>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</si>
  <si>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</si>
  <si>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</si>
  <si>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</si>
  <si>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</si>
  <si>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</si>
  <si>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</si>
  <si>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</si>
  <si>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</si>
  <si>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</si>
  <si>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</si>
  <si>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</si>
  <si>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</si>
  <si>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</si>
  <si>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</si>
  <si>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</si>
  <si>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</si>
  <si>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</si>
  <si>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</si>
  <si>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</si>
  <si>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</si>
  <si>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</si>
  <si>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</si>
  <si>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</si>
  <si>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</si>
  <si>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</si>
  <si>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</si>
  <si>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</si>
  <si>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</si>
  <si>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</si>
  <si>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</si>
  <si>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</si>
  <si>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</si>
  <si>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</si>
  <si>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</si>
  <si>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</si>
  <si>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</si>
  <si>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</si>
  <si>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</si>
  <si>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</si>
  <si>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</si>
  <si>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</si>
  <si>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</si>
  <si>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</si>
  <si>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</si>
  <si>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</si>
  <si>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</si>
  <si>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</si>
  <si>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</si>
  <si>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</si>
  <si>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</si>
  <si>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</si>
  <si>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</si>
  <si>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</si>
  <si>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</si>
  <si>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</si>
  <si>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</si>
  <si>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</si>
  <si>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</si>
  <si>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</si>
  <si>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</si>
  <si>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</si>
  <si>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</si>
  <si>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</si>
  <si>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</si>
  <si>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</si>
  <si>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</si>
  <si>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</si>
  <si>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</si>
  <si>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</si>
  <si>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</si>
  <si>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</si>
  <si>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</si>
  <si>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</si>
  <si>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</si>
  <si>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</si>
  <si>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</si>
  <si>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</si>
  <si>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</si>
  <si>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</si>
  <si>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</si>
  <si>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</si>
  <si>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</si>
  <si>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</si>
  <si>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</si>
  <si>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</si>
  <si>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</si>
  <si>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</si>
  <si>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</si>
  <si>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</si>
  <si>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</si>
  <si>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</si>
  <si>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</si>
  <si>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</si>
  <si>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</si>
  <si>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</si>
  <si>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</si>
  <si>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</si>
  <si>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</si>
  <si>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</si>
  <si>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</si>
  <si>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</si>
  <si>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</si>
  <si>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</si>
  <si>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</si>
  <si>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</si>
  <si>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</si>
  <si>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</si>
  <si>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</si>
  <si>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</si>
  <si>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</si>
  <si>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</si>
  <si>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</si>
  <si>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</si>
  <si>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</si>
  <si>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</si>
  <si>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</si>
  <si>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</si>
  <si>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</si>
  <si>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</si>
  <si>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</si>
  <si>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</si>
  <si>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</si>
  <si>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</si>
  <si>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</si>
  <si>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</si>
  <si>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</si>
  <si>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</si>
  <si>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</si>
  <si>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</si>
  <si>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</si>
  <si>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</si>
  <si>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</si>
  <si>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</si>
  <si>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</si>
  <si>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</si>
  <si>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</si>
  <si>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</si>
  <si>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</si>
  <si>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</si>
  <si>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</si>
  <si>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</si>
  <si>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</si>
  <si>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</si>
  <si>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</si>
  <si>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</si>
  <si>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</si>
  <si>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</si>
  <si>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</si>
  <si>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</si>
  <si>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</si>
  <si>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</si>
  <si>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</si>
  <si>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</si>
  <si>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</si>
  <si>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</si>
  <si>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</si>
  <si>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</si>
  <si>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</si>
  <si>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</si>
  <si>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</si>
  <si>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</si>
  <si>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</si>
  <si>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</si>
  <si>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</si>
  <si>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</si>
  <si>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</si>
  <si>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</si>
  <si>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</si>
  <si>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</si>
  <si>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</si>
  <si>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</si>
  <si>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</si>
  <si>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</si>
  <si>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</si>
  <si>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</si>
  <si>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</si>
  <si>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</si>
  <si>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</si>
  <si>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</si>
  <si>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</si>
  <si>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</si>
  <si>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</si>
  <si>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</si>
  <si>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</si>
  <si>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</si>
  <si>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</si>
  <si>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</si>
  <si>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</si>
  <si>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</si>
  <si>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</si>
  <si>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</si>
  <si>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</si>
  <si>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</si>
  <si>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</si>
  <si>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</si>
  <si>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</si>
  <si>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</si>
  <si>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</si>
  <si>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</si>
  <si>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</si>
  <si>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</si>
  <si>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</si>
  <si>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</si>
  <si>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</si>
  <si>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</si>
  <si>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</si>
  <si>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</si>
  <si>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</si>
  <si>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</si>
  <si>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</si>
  <si>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</si>
  <si>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</si>
  <si>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</si>
  <si>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</si>
  <si>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</si>
  <si>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</si>
  <si>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</si>
  <si>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</si>
  <si>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</si>
  <si>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</si>
  <si>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</si>
  <si>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</si>
  <si>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</si>
  <si>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</si>
  <si>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</si>
  <si>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</si>
  <si>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</si>
  <si>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</si>
  <si>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</si>
  <si>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</si>
  <si>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</si>
  <si>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</si>
  <si>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</si>
  <si>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</si>
  <si>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</si>
  <si>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</si>
  <si>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</si>
  <si>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</si>
  <si>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</si>
  <si>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</si>
  <si>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</si>
  <si>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</si>
  <si>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</si>
  <si>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</si>
  <si>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</si>
  <si>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</si>
  <si>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</si>
  <si>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</si>
  <si>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</si>
  <si>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</si>
  <si>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</si>
  <si>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</si>
  <si>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</si>
  <si>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</si>
  <si>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</si>
  <si>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</si>
  <si>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</si>
  <si>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</si>
  <si>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</si>
  <si>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</si>
  <si>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</si>
  <si>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</si>
  <si>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</si>
  <si>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</si>
  <si>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</si>
  <si>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</si>
  <si>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</si>
  <si>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</si>
  <si>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</si>
  <si>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</si>
  <si>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AGENCY FUNDS</t>
  </si>
  <si>
    <t>Mont Vernon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</si>
</sst>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910</v>
      </c>
      <c r="B2" s="21">
        <v>367</v>
      </c>
      <c r="C2" s="21">
        <v>367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174017.78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823.56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22894.46-13647.55</f>
        <v>9246.91</v>
      </c>
      <c r="G12" s="18">
        <v>30783.07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360</v>
      </c>
      <c r="G13" s="18">
        <v>657.98</v>
      </c>
      <c r="H13" s="18">
        <f>43915.37-1004.59+385</f>
        <v>43295.780000000006</v>
      </c>
      <c r="I13" s="18"/>
      <c r="J13" s="67">
        <f>SUM(I441)</f>
        <v>43897.599999999999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1728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186176.25</v>
      </c>
      <c r="G19" s="41">
        <f>SUM(G9:G18)</f>
        <v>31441.05</v>
      </c>
      <c r="H19" s="41">
        <f>SUM(H9:H18)</f>
        <v>43295.780000000006</v>
      </c>
      <c r="I19" s="41">
        <f>SUM(I9:I18)</f>
        <v>0</v>
      </c>
      <c r="J19" s="41">
        <f>SUM(J9:J18)</f>
        <v>43897.599999999999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106.13</v>
      </c>
      <c r="H22" s="18">
        <v>39923.85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95202.5</v>
      </c>
      <c r="G23" s="18">
        <v>2050.4299999999998</v>
      </c>
      <c r="H23" s="18">
        <v>0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7491.32</v>
      </c>
      <c r="G24" s="18">
        <v>0</v>
      </c>
      <c r="H24" s="18">
        <v>3310.62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111.48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339.88</v>
      </c>
      <c r="G29" s="18">
        <v>41.7</v>
      </c>
      <c r="H29" s="18">
        <v>50.84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10.47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260</v>
      </c>
      <c r="G31" s="18">
        <v>0</v>
      </c>
      <c r="H31" s="18">
        <v>0</v>
      </c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103405.18000000001</v>
      </c>
      <c r="G32" s="41">
        <f>SUM(G22:G31)</f>
        <v>2198.2599999999998</v>
      </c>
      <c r="H32" s="41">
        <f>SUM(H22:H31)</f>
        <v>43295.78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43897.599999999999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f>19324.82+10024.1-106.13</f>
        <v>29242.789999999997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67411.07+360</f>
        <v>67771.070000000007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82771.070000000007</v>
      </c>
      <c r="G50" s="41">
        <f>SUM(G35:G49)</f>
        <v>29242.789999999997</v>
      </c>
      <c r="H50" s="41">
        <f>SUM(H35:H49)</f>
        <v>0</v>
      </c>
      <c r="I50" s="41">
        <f>SUM(I35:I49)</f>
        <v>0</v>
      </c>
      <c r="J50" s="41">
        <f>SUM(J35:J49)</f>
        <v>43897.599999999999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186176.25</v>
      </c>
      <c r="G51" s="41">
        <f>G50+G32</f>
        <v>31441.049999999996</v>
      </c>
      <c r="H51" s="41">
        <f>H50+H32</f>
        <v>43295.78</v>
      </c>
      <c r="I51" s="41">
        <f>I50+I32</f>
        <v>0</v>
      </c>
      <c r="J51" s="41">
        <f>J50+J32</f>
        <v>43897.599999999999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2755970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2755970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769.79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49622.98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264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70</v>
      </c>
      <c r="G101" s="18"/>
      <c r="H101" s="18">
        <v>1500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136.44999999999999</v>
      </c>
      <c r="G108" s="18">
        <v>0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</v>
      </c>
      <c r="G109" s="18">
        <v>0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1252.24</v>
      </c>
      <c r="G110" s="41">
        <f>SUM(G95:G109)</f>
        <v>49622.98</v>
      </c>
      <c r="H110" s="41">
        <f>SUM(H95:H109)</f>
        <v>1500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2757222.24</v>
      </c>
      <c r="G111" s="41">
        <f>G59+G110</f>
        <v>49622.98</v>
      </c>
      <c r="H111" s="41">
        <f>H59+H78+H93+H110</f>
        <v>1500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967444.77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375549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838.23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4349.7299999999996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1348181.73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121443.12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748.79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121443.12</v>
      </c>
      <c r="G135" s="41">
        <f>SUM(G122:G134)</f>
        <v>748.79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1469624.85</v>
      </c>
      <c r="G139" s="41">
        <f>G120+SUM(G135:G136)</f>
        <v>748.79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11707.72-1004.59+385</f>
        <v>11088.13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19864.36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26738.61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21015.41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72089.919999999998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60427.68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29227.48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89655.16</v>
      </c>
      <c r="G161" s="41">
        <f>SUM(G149:G160)</f>
        <v>21015.41</v>
      </c>
      <c r="H161" s="41">
        <f>SUM(H149:H160)</f>
        <v>129781.01999999999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89655.16</v>
      </c>
      <c r="G168" s="41">
        <f>G146+G161+SUM(G162:G167)</f>
        <v>21015.41</v>
      </c>
      <c r="H168" s="41">
        <f>H146+H161+SUM(H162:H167)</f>
        <v>129781.01999999999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4316502.25</v>
      </c>
      <c r="G192" s="47">
        <f>G111+G139+G168+G191</f>
        <v>71387.180000000008</v>
      </c>
      <c r="H192" s="47">
        <f>H111+H139+H168+H191</f>
        <v>131281.01999999999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827732.47999999998</v>
      </c>
      <c r="G196" s="18">
        <f>325996.36+27+52.48</f>
        <v>326075.83999999997</v>
      </c>
      <c r="H196" s="18">
        <f>15427.58+56.11</f>
        <v>15483.69</v>
      </c>
      <c r="I196" s="18">
        <v>65411.16</v>
      </c>
      <c r="J196" s="18">
        <f>25333.58+448.2</f>
        <v>25781.780000000002</v>
      </c>
      <c r="K196" s="18">
        <v>0</v>
      </c>
      <c r="L196" s="19">
        <f>SUM(F196:K196)</f>
        <v>1260484.9499999997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372920.49</v>
      </c>
      <c r="G197" s="18">
        <f>108083.7+45</f>
        <v>108128.7</v>
      </c>
      <c r="H197" s="18">
        <f>236633.34+883.75</f>
        <v>237517.09</v>
      </c>
      <c r="I197" s="18">
        <v>5963.42</v>
      </c>
      <c r="J197" s="18">
        <v>1269</v>
      </c>
      <c r="K197" s="18">
        <v>125</v>
      </c>
      <c r="L197" s="19">
        <f>SUM(F197:K197)</f>
        <v>725923.70000000007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7609</v>
      </c>
      <c r="G199" s="18">
        <v>971.85</v>
      </c>
      <c r="H199" s="18">
        <v>0</v>
      </c>
      <c r="I199" s="18">
        <v>206.5</v>
      </c>
      <c r="J199" s="18">
        <v>0</v>
      </c>
      <c r="K199" s="18">
        <v>0</v>
      </c>
      <c r="L199" s="19">
        <f>SUM(F199:K199)</f>
        <v>8787.35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86255</v>
      </c>
      <c r="G201" s="18">
        <v>31769.21</v>
      </c>
      <c r="H201" s="18">
        <v>4024.5</v>
      </c>
      <c r="I201" s="18">
        <f>1867.25+204.54</f>
        <v>2071.79</v>
      </c>
      <c r="J201" s="18">
        <v>0</v>
      </c>
      <c r="K201" s="18">
        <v>0</v>
      </c>
      <c r="L201" s="19">
        <f t="shared" ref="L201:L207" si="0">SUM(F201:K201)</f>
        <v>124120.49999999999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94404.66</v>
      </c>
      <c r="G202" s="18">
        <f>39298.95+330.75</f>
        <v>39629.699999999997</v>
      </c>
      <c r="H202" s="18">
        <v>410</v>
      </c>
      <c r="I202" s="18">
        <v>8958.23</v>
      </c>
      <c r="J202" s="18">
        <v>0</v>
      </c>
      <c r="K202" s="18">
        <v>0</v>
      </c>
      <c r="L202" s="19">
        <f t="shared" si="0"/>
        <v>143402.59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3226.54</v>
      </c>
      <c r="G203" s="18">
        <v>260.64</v>
      </c>
      <c r="H203" s="18">
        <v>188433.46</v>
      </c>
      <c r="I203" s="18">
        <v>342.77</v>
      </c>
      <c r="J203" s="18">
        <v>0</v>
      </c>
      <c r="K203" s="18">
        <v>3005.61</v>
      </c>
      <c r="L203" s="19">
        <f t="shared" si="0"/>
        <v>195269.01999999996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135990.23000000001</v>
      </c>
      <c r="G204" s="18">
        <f>71436.89+18</f>
        <v>71454.89</v>
      </c>
      <c r="H204" s="18">
        <v>2373.69</v>
      </c>
      <c r="I204" s="18">
        <v>2255.13</v>
      </c>
      <c r="J204" s="18">
        <v>0</v>
      </c>
      <c r="K204" s="18">
        <v>749</v>
      </c>
      <c r="L204" s="19">
        <f t="shared" si="0"/>
        <v>212822.94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83508.69</v>
      </c>
      <c r="G206" s="18">
        <v>32809.449999999997</v>
      </c>
      <c r="H206" s="18">
        <v>87959.91</v>
      </c>
      <c r="I206" s="18">
        <f>78072.74+1268.97</f>
        <v>79341.710000000006</v>
      </c>
      <c r="J206" s="18">
        <v>0</v>
      </c>
      <c r="K206" s="18">
        <v>0</v>
      </c>
      <c r="L206" s="19">
        <f t="shared" si="0"/>
        <v>283619.76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f>192229.44+749.8</f>
        <v>192979.24</v>
      </c>
      <c r="I207" s="18"/>
      <c r="J207" s="18">
        <v>0</v>
      </c>
      <c r="K207" s="18">
        <v>0</v>
      </c>
      <c r="L207" s="19">
        <f t="shared" si="0"/>
        <v>192979.24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9374.23</v>
      </c>
      <c r="I208" s="18">
        <f>3399.39+32.2</f>
        <v>3431.5899999999997</v>
      </c>
      <c r="J208" s="18">
        <v>11094.93</v>
      </c>
      <c r="K208" s="18">
        <v>0</v>
      </c>
      <c r="L208" s="19">
        <f>SUM(F208:K208)</f>
        <v>23900.75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1611647.0899999999</v>
      </c>
      <c r="G210" s="41">
        <f t="shared" si="1"/>
        <v>611100.27999999991</v>
      </c>
      <c r="H210" s="41">
        <f t="shared" si="1"/>
        <v>738555.80999999994</v>
      </c>
      <c r="I210" s="41">
        <f t="shared" si="1"/>
        <v>167982.30000000002</v>
      </c>
      <c r="J210" s="41">
        <f t="shared" si="1"/>
        <v>38145.710000000006</v>
      </c>
      <c r="K210" s="41">
        <f t="shared" si="1"/>
        <v>3879.61</v>
      </c>
      <c r="L210" s="41">
        <f t="shared" si="1"/>
        <v>3171310.8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1181674.0900000001</v>
      </c>
      <c r="I214" s="18"/>
      <c r="J214" s="18"/>
      <c r="K214" s="18"/>
      <c r="L214" s="19">
        <f>SUM(F214:K214)</f>
        <v>1181674.0900000001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140876.25</v>
      </c>
      <c r="I215" s="18"/>
      <c r="J215" s="18"/>
      <c r="K215" s="18"/>
      <c r="L215" s="19">
        <f>SUM(F215:K215)</f>
        <v>140876.25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1322550.3400000001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1322550.3400000001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1611647.0899999999</v>
      </c>
      <c r="G256" s="41">
        <f t="shared" si="8"/>
        <v>611100.27999999991</v>
      </c>
      <c r="H256" s="41">
        <f t="shared" si="8"/>
        <v>2061106.15</v>
      </c>
      <c r="I256" s="41">
        <f t="shared" si="8"/>
        <v>167982.30000000002</v>
      </c>
      <c r="J256" s="41">
        <f t="shared" si="8"/>
        <v>38145.710000000006</v>
      </c>
      <c r="K256" s="41">
        <f t="shared" si="8"/>
        <v>3879.61</v>
      </c>
      <c r="L256" s="41">
        <f t="shared" si="8"/>
        <v>4493861.1399999997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1611647.0899999999</v>
      </c>
      <c r="G270" s="42">
        <f t="shared" si="11"/>
        <v>611100.27999999991</v>
      </c>
      <c r="H270" s="42">
        <f t="shared" si="11"/>
        <v>2061106.15</v>
      </c>
      <c r="I270" s="42">
        <f t="shared" si="11"/>
        <v>167982.30000000002</v>
      </c>
      <c r="J270" s="42">
        <f t="shared" si="11"/>
        <v>38145.710000000006</v>
      </c>
      <c r="K270" s="42">
        <f t="shared" si="11"/>
        <v>3879.61</v>
      </c>
      <c r="L270" s="42">
        <f t="shared" si="11"/>
        <v>4493861.1399999997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11693.28</v>
      </c>
      <c r="G275" s="18">
        <v>1826.43</v>
      </c>
      <c r="H275" s="18">
        <v>21902.799999999999</v>
      </c>
      <c r="I275" s="18">
        <v>0</v>
      </c>
      <c r="J275" s="18">
        <v>0</v>
      </c>
      <c r="K275" s="18">
        <v>0</v>
      </c>
      <c r="L275" s="19">
        <f>SUM(F275:K275)</f>
        <v>35422.51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41432.03</v>
      </c>
      <c r="G276" s="18">
        <v>5810.98</v>
      </c>
      <c r="H276" s="18">
        <v>3816.41</v>
      </c>
      <c r="I276" s="18">
        <v>4695.79</v>
      </c>
      <c r="J276" s="18">
        <v>5336.54</v>
      </c>
      <c r="K276" s="18">
        <v>0</v>
      </c>
      <c r="L276" s="19">
        <f>SUM(F276:K276)</f>
        <v>61091.75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6506.25</v>
      </c>
      <c r="G281" s="18">
        <v>1143.46</v>
      </c>
      <c r="H281" s="18">
        <v>26855.71</v>
      </c>
      <c r="I281" s="18">
        <v>261.33999999999997</v>
      </c>
      <c r="J281" s="18">
        <v>0</v>
      </c>
      <c r="K281" s="18">
        <v>0</v>
      </c>
      <c r="L281" s="19">
        <f t="shared" si="12"/>
        <v>34766.759999999995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59631.56</v>
      </c>
      <c r="G289" s="42">
        <f t="shared" si="13"/>
        <v>8780.869999999999</v>
      </c>
      <c r="H289" s="42">
        <f t="shared" si="13"/>
        <v>52574.92</v>
      </c>
      <c r="I289" s="42">
        <f t="shared" si="13"/>
        <v>4957.13</v>
      </c>
      <c r="J289" s="42">
        <f t="shared" si="13"/>
        <v>5336.54</v>
      </c>
      <c r="K289" s="42">
        <f t="shared" si="13"/>
        <v>0</v>
      </c>
      <c r="L289" s="41">
        <f t="shared" si="13"/>
        <v>131281.02000000002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59631.56</v>
      </c>
      <c r="G337" s="41">
        <f t="shared" si="20"/>
        <v>8780.869999999999</v>
      </c>
      <c r="H337" s="41">
        <f t="shared" si="20"/>
        <v>52574.92</v>
      </c>
      <c r="I337" s="41">
        <f t="shared" si="20"/>
        <v>4957.13</v>
      </c>
      <c r="J337" s="41">
        <f t="shared" si="20"/>
        <v>5336.54</v>
      </c>
      <c r="K337" s="41">
        <f t="shared" si="20"/>
        <v>0</v>
      </c>
      <c r="L337" s="41">
        <f t="shared" si="20"/>
        <v>131281.02000000002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59631.56</v>
      </c>
      <c r="G351" s="41">
        <f>G337</f>
        <v>8780.869999999999</v>
      </c>
      <c r="H351" s="41">
        <f>H337</f>
        <v>52574.92</v>
      </c>
      <c r="I351" s="41">
        <f>I337</f>
        <v>4957.13</v>
      </c>
      <c r="J351" s="41">
        <f>J337</f>
        <v>5336.54</v>
      </c>
      <c r="K351" s="47">
        <f>K337+K350</f>
        <v>0</v>
      </c>
      <c r="L351" s="41">
        <f>L337+L350</f>
        <v>131281.02000000002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23887.35</v>
      </c>
      <c r="G357" s="18">
        <v>2596.2399999999998</v>
      </c>
      <c r="H357" s="18">
        <v>651.05999999999995</v>
      </c>
      <c r="I357" s="18">
        <v>32234.560000000001</v>
      </c>
      <c r="J357" s="18">
        <v>2100</v>
      </c>
      <c r="K357" s="18">
        <v>0</v>
      </c>
      <c r="L357" s="13">
        <f>SUM(F357:K357)</f>
        <v>61469.21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23887.35</v>
      </c>
      <c r="G361" s="47">
        <f t="shared" si="22"/>
        <v>2596.2399999999998</v>
      </c>
      <c r="H361" s="47">
        <f t="shared" si="22"/>
        <v>651.05999999999995</v>
      </c>
      <c r="I361" s="47">
        <f t="shared" si="22"/>
        <v>32234.560000000001</v>
      </c>
      <c r="J361" s="47">
        <f t="shared" si="22"/>
        <v>2100</v>
      </c>
      <c r="K361" s="47">
        <f t="shared" si="22"/>
        <v>0</v>
      </c>
      <c r="L361" s="47">
        <f t="shared" si="22"/>
        <v>61469.21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18590.32+10403.06</f>
        <v>28993.379999999997</v>
      </c>
      <c r="G366" s="18"/>
      <c r="H366" s="18"/>
      <c r="I366" s="56">
        <f>SUM(F366:H366)</f>
        <v>28993.379999999997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3241.18</v>
      </c>
      <c r="G367" s="63"/>
      <c r="H367" s="63"/>
      <c r="I367" s="56">
        <f>SUM(F367:H367)</f>
        <v>3241.18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32234.559999999998</v>
      </c>
      <c r="G368" s="47">
        <f>SUM(G366:G367)</f>
        <v>0</v>
      </c>
      <c r="H368" s="47">
        <f>SUM(H366:H367)</f>
        <v>0</v>
      </c>
      <c r="I368" s="47">
        <f>SUM(I366:I367)</f>
        <v>32234.559999999998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>
        <v>1069.3900000000001</v>
      </c>
      <c r="L428" s="56">
        <f>SUM(F428:K428)</f>
        <v>1069.3900000000001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1069.3900000000001</v>
      </c>
      <c r="L432" s="47">
        <f t="shared" si="31"/>
        <v>1069.3900000000001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1069.3900000000001</v>
      </c>
      <c r="L433" s="47">
        <f t="shared" si="32"/>
        <v>1069.3900000000001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43897.599999999999</v>
      </c>
      <c r="H441" s="18"/>
      <c r="I441" s="56">
        <f t="shared" si="33"/>
        <v>43897.599999999999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43897.599999999999</v>
      </c>
      <c r="H445" s="13">
        <f>SUM(H438:H444)</f>
        <v>0</v>
      </c>
      <c r="I445" s="13">
        <f>SUM(I438:I444)</f>
        <v>43897.599999999999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33294.29+10603.31</f>
        <v>43897.599999999999</v>
      </c>
      <c r="H458" s="18"/>
      <c r="I458" s="56">
        <f t="shared" si="34"/>
        <v>43897.599999999999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43897.599999999999</v>
      </c>
      <c r="H459" s="83">
        <f>SUM(H453:H458)</f>
        <v>0</v>
      </c>
      <c r="I459" s="83">
        <f>SUM(I453:I458)</f>
        <v>43897.599999999999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43897.599999999999</v>
      </c>
      <c r="H460" s="42">
        <f>H451+H459</f>
        <v>0</v>
      </c>
      <c r="I460" s="42">
        <f>I451+I459</f>
        <v>43897.599999999999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269380.15999999997</v>
      </c>
      <c r="G464" s="18">
        <v>19324.82</v>
      </c>
      <c r="H464" s="18">
        <v>0</v>
      </c>
      <c r="I464" s="18"/>
      <c r="J464" s="18">
        <v>44966.99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4316142.25+360</f>
        <v>4316502.25</v>
      </c>
      <c r="G467" s="18">
        <v>71387.179999999993</v>
      </c>
      <c r="H467" s="18">
        <f>131900.61-1004.59+385</f>
        <v>131281.01999999999</v>
      </c>
      <c r="I467" s="18"/>
      <c r="J467" s="18">
        <v>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/>
      <c r="H468" s="18"/>
      <c r="I468" s="18"/>
      <c r="J468" s="18">
        <v>0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4316502.25</v>
      </c>
      <c r="G469" s="53">
        <f>SUM(G467:G468)</f>
        <v>71387.179999999993</v>
      </c>
      <c r="H469" s="53">
        <f>SUM(H467:H468)</f>
        <v>131281.01999999999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4480213.59+13647.55</f>
        <v>4493861.1399999997</v>
      </c>
      <c r="G471" s="18">
        <f>61363.08+106.13</f>
        <v>61469.21</v>
      </c>
      <c r="H471" s="18">
        <v>131281.01999999999</v>
      </c>
      <c r="I471" s="18"/>
      <c r="J471" s="18">
        <v>1069.3900000000001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9250.2000000000007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4503111.34</v>
      </c>
      <c r="G473" s="53">
        <f>SUM(G471:G472)</f>
        <v>61469.21</v>
      </c>
      <c r="H473" s="53">
        <f>SUM(H471:H472)</f>
        <v>131281.01999999999</v>
      </c>
      <c r="I473" s="53">
        <f>SUM(I471:I472)</f>
        <v>0</v>
      </c>
      <c r="J473" s="53">
        <f>SUM(J471:J472)</f>
        <v>1069.3900000000001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82771.070000000298</v>
      </c>
      <c r="G475" s="53">
        <f>(G464+G469)- G473</f>
        <v>29242.79</v>
      </c>
      <c r="H475" s="53">
        <f>(H464+H469)- H473</f>
        <v>0</v>
      </c>
      <c r="I475" s="53">
        <f>(I464+I469)- I473</f>
        <v>0</v>
      </c>
      <c r="J475" s="53">
        <f>(J464+J469)- J473</f>
        <v>43897.599999999999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411980.21</v>
      </c>
      <c r="G520" s="18">
        <v>113858.14</v>
      </c>
      <c r="H520" s="18">
        <f>24991.57+188.02</f>
        <v>25179.59</v>
      </c>
      <c r="I520" s="18">
        <v>6620.19</v>
      </c>
      <c r="J520" s="18"/>
      <c r="K520" s="18"/>
      <c r="L520" s="88">
        <f>SUM(F520:K520)</f>
        <v>557638.12999999989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82464.240000000005</v>
      </c>
      <c r="I521" s="18"/>
      <c r="J521" s="18"/>
      <c r="K521" s="18"/>
      <c r="L521" s="88">
        <f>SUM(F521:K521)</f>
        <v>82464.240000000005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411980.21</v>
      </c>
      <c r="G523" s="108">
        <f t="shared" ref="G523:L523" si="36">SUM(G520:G522)</f>
        <v>113858.14</v>
      </c>
      <c r="H523" s="108">
        <f t="shared" si="36"/>
        <v>107643.83</v>
      </c>
      <c r="I523" s="108">
        <f t="shared" si="36"/>
        <v>6620.19</v>
      </c>
      <c r="J523" s="108">
        <f t="shared" si="36"/>
        <v>0</v>
      </c>
      <c r="K523" s="108">
        <f t="shared" si="36"/>
        <v>0</v>
      </c>
      <c r="L523" s="89">
        <f t="shared" si="36"/>
        <v>640102.36999999988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210641.33</v>
      </c>
      <c r="I525" s="18">
        <v>4300.3599999999997</v>
      </c>
      <c r="J525" s="18">
        <v>6605.54</v>
      </c>
      <c r="K525" s="18"/>
      <c r="L525" s="88">
        <f>SUM(F525:K525)</f>
        <v>221547.22999999998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58412.01</v>
      </c>
      <c r="I526" s="18"/>
      <c r="J526" s="18"/>
      <c r="K526" s="18"/>
      <c r="L526" s="88">
        <f>SUM(F526:K526)</f>
        <v>58412.01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269053.33999999997</v>
      </c>
      <c r="I528" s="89">
        <f t="shared" si="37"/>
        <v>4300.3599999999997</v>
      </c>
      <c r="J528" s="89">
        <f t="shared" si="37"/>
        <v>6605.54</v>
      </c>
      <c r="K528" s="89">
        <f t="shared" si="37"/>
        <v>0</v>
      </c>
      <c r="L528" s="89">
        <f t="shared" si="37"/>
        <v>279959.24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12279.59</v>
      </c>
      <c r="G530" s="18">
        <v>1566.26</v>
      </c>
      <c r="H530" s="18">
        <v>6041.54</v>
      </c>
      <c r="I530" s="18"/>
      <c r="J530" s="18"/>
      <c r="K530" s="18">
        <v>125</v>
      </c>
      <c r="L530" s="88">
        <f>SUM(F530:K530)</f>
        <v>20012.39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12279.59</v>
      </c>
      <c r="G533" s="89">
        <f t="shared" ref="G533:L533" si="38">SUM(G530:G532)</f>
        <v>1566.26</v>
      </c>
      <c r="H533" s="89">
        <f t="shared" si="38"/>
        <v>6041.54</v>
      </c>
      <c r="I533" s="89">
        <f t="shared" si="38"/>
        <v>0</v>
      </c>
      <c r="J533" s="89">
        <f t="shared" si="38"/>
        <v>0</v>
      </c>
      <c r="K533" s="89">
        <f t="shared" si="38"/>
        <v>125</v>
      </c>
      <c r="L533" s="89">
        <f t="shared" si="38"/>
        <v>20012.39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87673.95</v>
      </c>
      <c r="I540" s="18"/>
      <c r="J540" s="18"/>
      <c r="K540" s="18"/>
      <c r="L540" s="88">
        <f>SUM(F540:K540)</f>
        <v>87673.95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87673.95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87673.95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424259.80000000005</v>
      </c>
      <c r="G544" s="89">
        <f t="shared" ref="G544:L544" si="41">G523+G528+G533+G538+G543</f>
        <v>115424.4</v>
      </c>
      <c r="H544" s="89">
        <f t="shared" si="41"/>
        <v>470412.66</v>
      </c>
      <c r="I544" s="89">
        <f t="shared" si="41"/>
        <v>10920.55</v>
      </c>
      <c r="J544" s="89">
        <f t="shared" si="41"/>
        <v>6605.54</v>
      </c>
      <c r="K544" s="89">
        <f t="shared" si="41"/>
        <v>125</v>
      </c>
      <c r="L544" s="89">
        <f t="shared" si="41"/>
        <v>1027747.9499999998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557638.12999999989</v>
      </c>
      <c r="G548" s="87">
        <f>L525</f>
        <v>221547.22999999998</v>
      </c>
      <c r="H548" s="87">
        <f>L530</f>
        <v>20012.39</v>
      </c>
      <c r="I548" s="87">
        <f>L535</f>
        <v>0</v>
      </c>
      <c r="J548" s="87">
        <f>L540</f>
        <v>87673.95</v>
      </c>
      <c r="K548" s="87">
        <f>SUM(F548:J548)</f>
        <v>886871.69999999984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82464.240000000005</v>
      </c>
      <c r="G549" s="87">
        <f>L526</f>
        <v>58412.01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140876.25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640102.36999999988</v>
      </c>
      <c r="G551" s="89">
        <f t="shared" si="42"/>
        <v>279959.24</v>
      </c>
      <c r="H551" s="89">
        <f t="shared" si="42"/>
        <v>20012.39</v>
      </c>
      <c r="I551" s="89">
        <f t="shared" si="42"/>
        <v>0</v>
      </c>
      <c r="J551" s="89">
        <f t="shared" si="42"/>
        <v>87673.95</v>
      </c>
      <c r="K551" s="89">
        <f t="shared" si="42"/>
        <v>1027747.9499999998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f>1165586.09+16088</f>
        <v>1181674.0900000001</v>
      </c>
      <c r="H574" s="18"/>
      <c r="I574" s="87">
        <f>SUM(F574:H574)</f>
        <v>1181674.0900000001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24991.57</v>
      </c>
      <c r="G581" s="18">
        <v>82464.240000000005</v>
      </c>
      <c r="H581" s="18"/>
      <c r="I581" s="87">
        <f t="shared" si="47"/>
        <v>107455.81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100466.77</f>
        <v>100466.77</v>
      </c>
      <c r="I590" s="18"/>
      <c r="J590" s="18"/>
      <c r="K590" s="104">
        <f t="shared" ref="K590:K596" si="48">SUM(H590:J590)</f>
        <v>100466.77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86924.15+749.8</f>
        <v>87673.95</v>
      </c>
      <c r="I591" s="18"/>
      <c r="J591" s="18"/>
      <c r="K591" s="104">
        <f t="shared" si="48"/>
        <v>87673.95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4838.5200000000004</v>
      </c>
      <c r="I594" s="18"/>
      <c r="J594" s="18"/>
      <c r="K594" s="104">
        <f t="shared" si="48"/>
        <v>4838.5200000000004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192979.24</v>
      </c>
      <c r="I597" s="108">
        <f>SUM(I590:I596)</f>
        <v>0</v>
      </c>
      <c r="J597" s="108">
        <f>SUM(J590:J596)</f>
        <v>0</v>
      </c>
      <c r="K597" s="108">
        <f>SUM(K590:K596)</f>
        <v>192979.24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43482.25</v>
      </c>
      <c r="I603" s="18"/>
      <c r="J603" s="18"/>
      <c r="K603" s="104">
        <f>SUM(H603:J603)</f>
        <v>43482.25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43482.25</v>
      </c>
      <c r="I604" s="108">
        <f>SUM(I601:I603)</f>
        <v>0</v>
      </c>
      <c r="J604" s="108">
        <f>SUM(J601:J603)</f>
        <v>0</v>
      </c>
      <c r="K604" s="108">
        <f>SUM(K601:K603)</f>
        <v>43482.25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186176.25</v>
      </c>
      <c r="H616" s="109">
        <f>SUM(F51)</f>
        <v>186176.25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31441.05</v>
      </c>
      <c r="H617" s="109">
        <f>SUM(G51)</f>
        <v>31441.049999999996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43295.780000000006</v>
      </c>
      <c r="H618" s="109">
        <f>SUM(H51)</f>
        <v>43295.78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43897.599999999999</v>
      </c>
      <c r="H620" s="109">
        <f>SUM(J51)</f>
        <v>43897.599999999999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82771.070000000007</v>
      </c>
      <c r="H621" s="109">
        <f>F475</f>
        <v>82771.070000000298</v>
      </c>
      <c r="I621" s="121" t="s">
        <v>101</v>
      </c>
      <c r="J621" s="109">
        <f t="shared" ref="J621:J654" si="50">G621-H621</f>
        <v>-2.9103830456733704E-10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29242.789999999997</v>
      </c>
      <c r="H622" s="109">
        <f>G475</f>
        <v>29242.79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43897.599999999999</v>
      </c>
      <c r="H625" s="109">
        <f>J475</f>
        <v>43897.599999999999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4316502.25</v>
      </c>
      <c r="H626" s="104">
        <f>SUM(F467)</f>
        <v>4316502.25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71387.180000000008</v>
      </c>
      <c r="H627" s="104">
        <f>SUM(G467)</f>
        <v>71387.179999999993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131281.01999999999</v>
      </c>
      <c r="H628" s="104">
        <f>SUM(H467)</f>
        <v>131281.01999999999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4493861.1399999997</v>
      </c>
      <c r="H631" s="104">
        <f>SUM(F471)</f>
        <v>4493861.1399999997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131281.02000000002</v>
      </c>
      <c r="H632" s="104">
        <f>SUM(H471)</f>
        <v>131281.01999999999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32234.560000000001</v>
      </c>
      <c r="H633" s="104">
        <f>I368</f>
        <v>32234.559999999998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61469.21</v>
      </c>
      <c r="H634" s="104">
        <f>SUM(G471)</f>
        <v>61469.21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1069.3900000000001</v>
      </c>
      <c r="H637" s="164">
        <f>SUM(J471)</f>
        <v>1069.3900000000001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43897.599999999999</v>
      </c>
      <c r="H639" s="104">
        <f>SUM(G460)</f>
        <v>43897.599999999999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43897.599999999999</v>
      </c>
      <c r="H641" s="104">
        <f>SUM(I460)</f>
        <v>43897.599999999999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192979.24</v>
      </c>
      <c r="H646" s="104">
        <f>L207+L225+L243</f>
        <v>192979.24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43482.25</v>
      </c>
      <c r="H647" s="104">
        <f>(J256+J337)-(J254+J335)</f>
        <v>43482.250000000007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192979.24</v>
      </c>
      <c r="H648" s="104">
        <f>H597</f>
        <v>192979.24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3364061.03</v>
      </c>
      <c r="G659" s="19">
        <f>(L228+L308+L358)</f>
        <v>1322550.3400000001</v>
      </c>
      <c r="H659" s="19">
        <f>(L246+L327+L359)</f>
        <v>0</v>
      </c>
      <c r="I659" s="19">
        <f>SUM(F659:H659)</f>
        <v>4686611.37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49622.98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49622.98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192979.24</v>
      </c>
      <c r="G661" s="19">
        <f>(L225+L305)-(J225+J305)</f>
        <v>0</v>
      </c>
      <c r="H661" s="19">
        <f>(L243+L324)-(J243+J324)</f>
        <v>0</v>
      </c>
      <c r="I661" s="19">
        <f>SUM(F661:H661)</f>
        <v>192979.24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68473.820000000007</v>
      </c>
      <c r="G662" s="200">
        <f>SUM(G574:G586)+SUM(I601:I603)+L611</f>
        <v>1264138.33</v>
      </c>
      <c r="H662" s="200">
        <f>SUM(H574:H586)+SUM(J601:J603)+L612</f>
        <v>0</v>
      </c>
      <c r="I662" s="19">
        <f>SUM(F662:H662)</f>
        <v>1332612.1500000001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3052984.9899999998</v>
      </c>
      <c r="G663" s="19">
        <f>G659-SUM(G660:G662)</f>
        <v>58412.010000000009</v>
      </c>
      <c r="H663" s="19">
        <f>H659-SUM(H660:H662)</f>
        <v>0</v>
      </c>
      <c r="I663" s="19">
        <f>I659-SUM(I660:I662)</f>
        <v>3111397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217.37</v>
      </c>
      <c r="G664" s="249"/>
      <c r="H664" s="249"/>
      <c r="I664" s="19">
        <f>SUM(F664:H664)</f>
        <v>217.37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14045.11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14313.83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>
        <v>-58412.01</v>
      </c>
      <c r="H668" s="18"/>
      <c r="I668" s="19">
        <f>SUM(F668:H668)</f>
        <v>-58412.01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14045.11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14045.11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Mont Vernon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839425.76</v>
      </c>
      <c r="C9" s="230">
        <f>'DOE25'!G196+'DOE25'!G214+'DOE25'!G232+'DOE25'!G275+'DOE25'!G294+'DOE25'!G313</f>
        <v>327902.26999999996</v>
      </c>
    </row>
    <row r="10" spans="1:3">
      <c r="A10" t="s">
        <v>779</v>
      </c>
      <c r="B10" s="241">
        <v>829863.76</v>
      </c>
      <c r="C10" s="241">
        <v>324167.09999999998</v>
      </c>
    </row>
    <row r="11" spans="1:3">
      <c r="A11" t="s">
        <v>780</v>
      </c>
      <c r="B11" s="241">
        <v>6672</v>
      </c>
      <c r="C11" s="241">
        <v>2606.2600000000002</v>
      </c>
    </row>
    <row r="12" spans="1:3">
      <c r="A12" t="s">
        <v>781</v>
      </c>
      <c r="B12" s="241">
        <v>2890</v>
      </c>
      <c r="C12" s="241">
        <v>1128.9100000000001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839425.76</v>
      </c>
      <c r="C13" s="232">
        <f>SUM(C10:C12)</f>
        <v>327902.26999999996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414352.52</v>
      </c>
      <c r="C18" s="230">
        <f>'DOE25'!G197+'DOE25'!G215+'DOE25'!G233+'DOE25'!G276+'DOE25'!G295+'DOE25'!G314</f>
        <v>113939.68</v>
      </c>
    </row>
    <row r="19" spans="1:3">
      <c r="A19" t="s">
        <v>779</v>
      </c>
      <c r="B19" s="241">
        <v>165840.17000000001</v>
      </c>
      <c r="C19" s="241">
        <v>45603.14</v>
      </c>
    </row>
    <row r="20" spans="1:3">
      <c r="A20" t="s">
        <v>780</v>
      </c>
      <c r="B20" s="241">
        <v>142773.10999999999</v>
      </c>
      <c r="C20" s="241">
        <v>39260.1</v>
      </c>
    </row>
    <row r="21" spans="1:3">
      <c r="A21" t="s">
        <v>781</v>
      </c>
      <c r="B21" s="241">
        <v>105739.24</v>
      </c>
      <c r="C21" s="241">
        <v>29076.44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414352.52</v>
      </c>
      <c r="C22" s="232">
        <f>SUM(C19:C21)</f>
        <v>113939.68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7609</v>
      </c>
      <c r="C36" s="236">
        <f>'DOE25'!G199+'DOE25'!G217+'DOE25'!G235+'DOE25'!G278+'DOE25'!G297+'DOE25'!G316</f>
        <v>971.85</v>
      </c>
    </row>
    <row r="37" spans="1:3">
      <c r="A37" t="s">
        <v>779</v>
      </c>
      <c r="B37" s="241">
        <v>7489</v>
      </c>
      <c r="C37" s="241">
        <v>949.11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120</v>
      </c>
      <c r="C39" s="241">
        <v>22.74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7609</v>
      </c>
      <c r="C40" s="232">
        <f>SUM(C37:C39)</f>
        <v>971.85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Mont Vernon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3317746.34</v>
      </c>
      <c r="D5" s="20">
        <f>SUM('DOE25'!L196:L199)+SUM('DOE25'!L214:L217)+SUM('DOE25'!L232:L235)-F5-G5</f>
        <v>3290570.56</v>
      </c>
      <c r="E5" s="244"/>
      <c r="F5" s="256">
        <f>SUM('DOE25'!J196:J199)+SUM('DOE25'!J214:J217)+SUM('DOE25'!J232:J235)</f>
        <v>27050.780000000002</v>
      </c>
      <c r="G5" s="53">
        <f>SUM('DOE25'!K196:K199)+SUM('DOE25'!K214:K217)+SUM('DOE25'!K232:K235)</f>
        <v>125</v>
      </c>
      <c r="H5" s="260"/>
    </row>
    <row r="6" spans="1:9">
      <c r="A6" s="32">
        <v>2100</v>
      </c>
      <c r="B6" t="s">
        <v>801</v>
      </c>
      <c r="C6" s="246">
        <f t="shared" si="0"/>
        <v>124120.49999999999</v>
      </c>
      <c r="D6" s="20">
        <f>'DOE25'!L201+'DOE25'!L219+'DOE25'!L237-F6-G6</f>
        <v>124120.49999999999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143402.59</v>
      </c>
      <c r="D7" s="20">
        <f>'DOE25'!L202+'DOE25'!L220+'DOE25'!L238-F7-G7</f>
        <v>143402.59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195269.01999999996</v>
      </c>
      <c r="D8" s="244"/>
      <c r="E8" s="20">
        <f>'DOE25'!L203+'DOE25'!L221+'DOE25'!L239-F8-G8-D9-D11</f>
        <v>192263.40999999997</v>
      </c>
      <c r="F8" s="256">
        <f>'DOE25'!J203+'DOE25'!J221+'DOE25'!J239</f>
        <v>0</v>
      </c>
      <c r="G8" s="53">
        <f>'DOE25'!K203+'DOE25'!K221+'DOE25'!K239</f>
        <v>3005.61</v>
      </c>
      <c r="H8" s="260"/>
    </row>
    <row r="9" spans="1:9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212822.94</v>
      </c>
      <c r="D12" s="20">
        <f>'DOE25'!L204+'DOE25'!L222+'DOE25'!L240-F12-G12</f>
        <v>212073.94</v>
      </c>
      <c r="E12" s="244"/>
      <c r="F12" s="256">
        <f>'DOE25'!J204+'DOE25'!J222+'DOE25'!J240</f>
        <v>0</v>
      </c>
      <c r="G12" s="53">
        <f>'DOE25'!K204+'DOE25'!K222+'DOE25'!K240</f>
        <v>749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283619.76</v>
      </c>
      <c r="D14" s="20">
        <f>'DOE25'!L206+'DOE25'!L224+'DOE25'!L242-F14-G14</f>
        <v>283619.76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192979.24</v>
      </c>
      <c r="D15" s="20">
        <f>'DOE25'!L207+'DOE25'!L225+'DOE25'!L243-F15-G15</f>
        <v>192979.24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23900.75</v>
      </c>
      <c r="D16" s="244"/>
      <c r="E16" s="20">
        <f>'DOE25'!L208+'DOE25'!L226+'DOE25'!L244-F16-G16</f>
        <v>12805.82</v>
      </c>
      <c r="F16" s="256">
        <f>'DOE25'!J208+'DOE25'!J226+'DOE25'!J244</f>
        <v>11094.93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32475.83</v>
      </c>
      <c r="D29" s="20">
        <f>'DOE25'!L357+'DOE25'!L358+'DOE25'!L359-'DOE25'!I366-F29-G29</f>
        <v>30375.83</v>
      </c>
      <c r="E29" s="244"/>
      <c r="F29" s="256">
        <f>'DOE25'!J357+'DOE25'!J358+'DOE25'!J359</f>
        <v>2100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131281.02000000002</v>
      </c>
      <c r="D31" s="20">
        <f>'DOE25'!L289+'DOE25'!L308+'DOE25'!L327+'DOE25'!L332+'DOE25'!L333+'DOE25'!L334-F31-G31</f>
        <v>125944.48000000003</v>
      </c>
      <c r="E31" s="244"/>
      <c r="F31" s="256">
        <f>'DOE25'!J289+'DOE25'!J308+'DOE25'!J327+'DOE25'!J332+'DOE25'!J333+'DOE25'!J334</f>
        <v>5336.54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4403086.9000000004</v>
      </c>
      <c r="E33" s="247">
        <f>SUM(E5:E31)</f>
        <v>205069.22999999998</v>
      </c>
      <c r="F33" s="247">
        <f>SUM(F5:F31)</f>
        <v>45582.250000000007</v>
      </c>
      <c r="G33" s="247">
        <f>SUM(G5:G31)</f>
        <v>3879.61</v>
      </c>
      <c r="H33" s="247">
        <f>SUM(H5:H31)</f>
        <v>0</v>
      </c>
    </row>
    <row r="35" spans="2:8" ht="12" thickBot="1">
      <c r="B35" s="254" t="s">
        <v>847</v>
      </c>
      <c r="D35" s="255">
        <f>E33</f>
        <v>205069.22999999998</v>
      </c>
      <c r="E35" s="250"/>
    </row>
    <row r="36" spans="2:8" ht="12" thickTop="1">
      <c r="B36" t="s">
        <v>815</v>
      </c>
      <c r="D36" s="20">
        <f>D33</f>
        <v>4403086.9000000004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N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Mont Vernon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174017.78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823.56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9246.91</v>
      </c>
      <c r="D11" s="95">
        <f>'DOE25'!G12</f>
        <v>30783.07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360</v>
      </c>
      <c r="D12" s="95">
        <f>'DOE25'!G13</f>
        <v>657.98</v>
      </c>
      <c r="E12" s="95">
        <f>'DOE25'!H13</f>
        <v>43295.780000000006</v>
      </c>
      <c r="F12" s="95">
        <f>'DOE25'!I13</f>
        <v>0</v>
      </c>
      <c r="G12" s="95">
        <f>'DOE25'!J13</f>
        <v>43897.599999999999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1728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186176.25</v>
      </c>
      <c r="D18" s="41">
        <f>SUM(D8:D17)</f>
        <v>31441.05</v>
      </c>
      <c r="E18" s="41">
        <f>SUM(E8:E17)</f>
        <v>43295.780000000006</v>
      </c>
      <c r="F18" s="41">
        <f>SUM(F8:F17)</f>
        <v>0</v>
      </c>
      <c r="G18" s="41">
        <f>SUM(G8:G17)</f>
        <v>43897.599999999999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106.13</v>
      </c>
      <c r="E21" s="95">
        <f>'DOE25'!H22</f>
        <v>39923.85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95202.5</v>
      </c>
      <c r="D22" s="95">
        <f>'DOE25'!G23</f>
        <v>2050.4299999999998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7491.32</v>
      </c>
      <c r="D23" s="95">
        <f>'DOE25'!G24</f>
        <v>0</v>
      </c>
      <c r="E23" s="95">
        <f>'DOE25'!H24</f>
        <v>3310.62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111.48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339.88</v>
      </c>
      <c r="D28" s="95">
        <f>'DOE25'!G29</f>
        <v>41.7</v>
      </c>
      <c r="E28" s="95">
        <f>'DOE25'!H29</f>
        <v>50.84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10.47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260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103405.18000000001</v>
      </c>
      <c r="D31" s="41">
        <f>SUM(D21:D30)</f>
        <v>2198.2599999999998</v>
      </c>
      <c r="E31" s="41">
        <f>SUM(E21:E30)</f>
        <v>43295.78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43897.599999999999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29242.789999999997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67771.070000000007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82771.070000000007</v>
      </c>
      <c r="D49" s="41">
        <f>SUM(D34:D48)</f>
        <v>29242.789999999997</v>
      </c>
      <c r="E49" s="41">
        <f>SUM(E34:E48)</f>
        <v>0</v>
      </c>
      <c r="F49" s="41">
        <f>SUM(F34:F48)</f>
        <v>0</v>
      </c>
      <c r="G49" s="41">
        <f>SUM(G34:G48)</f>
        <v>43897.599999999999</v>
      </c>
      <c r="H49" s="124"/>
      <c r="I49" s="124"/>
    </row>
    <row r="50" spans="1:9" ht="12" thickTop="1">
      <c r="A50" s="38" t="s">
        <v>895</v>
      </c>
      <c r="B50" s="2"/>
      <c r="C50" s="41">
        <f>C49+C31</f>
        <v>186176.25</v>
      </c>
      <c r="D50" s="41">
        <f>D49+D31</f>
        <v>31441.049999999996</v>
      </c>
      <c r="E50" s="41">
        <f>E49+E31</f>
        <v>43295.78</v>
      </c>
      <c r="F50" s="41">
        <f>F49+F31</f>
        <v>0</v>
      </c>
      <c r="G50" s="41">
        <f>G49+G31</f>
        <v>43897.599999999999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2755970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769.79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49622.98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482.45</v>
      </c>
      <c r="D60" s="95">
        <f>SUM('DOE25'!G97:G109)</f>
        <v>0</v>
      </c>
      <c r="E60" s="95">
        <f>SUM('DOE25'!H97:H109)</f>
        <v>1500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1252.24</v>
      </c>
      <c r="D61" s="130">
        <f>SUM(D56:D60)</f>
        <v>49622.98</v>
      </c>
      <c r="E61" s="130">
        <f>SUM(E56:E60)</f>
        <v>1500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2757222.24</v>
      </c>
      <c r="D62" s="22">
        <f>D55+D61</f>
        <v>49622.98</v>
      </c>
      <c r="E62" s="22">
        <f>E55+E61</f>
        <v>1500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967444.77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375549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838.23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4349.7299999999996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1348181.73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121443.12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748.79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121443.12</v>
      </c>
      <c r="D77" s="130">
        <f>SUM(D71:D76)</f>
        <v>748.79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1469624.85</v>
      </c>
      <c r="D80" s="130">
        <f>SUM(D78:D79)+D77+D69</f>
        <v>748.79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11088.13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89655.16</v>
      </c>
      <c r="D87" s="95">
        <f>SUM('DOE25'!G152:G160)</f>
        <v>21015.41</v>
      </c>
      <c r="E87" s="95">
        <f>SUM('DOE25'!H152:H160)</f>
        <v>118692.89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89655.16</v>
      </c>
      <c r="D90" s="131">
        <f>SUM(D84:D89)</f>
        <v>21015.41</v>
      </c>
      <c r="E90" s="131">
        <f>SUM(E84:E89)</f>
        <v>129781.02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4316502.25</v>
      </c>
      <c r="D103" s="86">
        <f>D62+D80+D90+D102</f>
        <v>71387.180000000008</v>
      </c>
      <c r="E103" s="86">
        <f>E62+E80+E90+E102</f>
        <v>131281.02000000002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2442159.04</v>
      </c>
      <c r="D108" s="24" t="s">
        <v>289</v>
      </c>
      <c r="E108" s="95">
        <f>('DOE25'!L275)+('DOE25'!L294)+('DOE25'!L313)</f>
        <v>35422.51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866799.95000000007</v>
      </c>
      <c r="D109" s="24" t="s">
        <v>289</v>
      </c>
      <c r="E109" s="95">
        <f>('DOE25'!L276)+('DOE25'!L295)+('DOE25'!L314)</f>
        <v>61091.75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8787.35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3317746.3400000003</v>
      </c>
      <c r="D114" s="86">
        <f>SUM(D108:D113)</f>
        <v>0</v>
      </c>
      <c r="E114" s="86">
        <f>SUM(E108:E113)</f>
        <v>96514.260000000009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124120.49999999999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143402.59</v>
      </c>
      <c r="D118" s="24" t="s">
        <v>289</v>
      </c>
      <c r="E118" s="95">
        <f>+('DOE25'!L281)+('DOE25'!L300)+('DOE25'!L319)</f>
        <v>34766.759999999995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195269.01999999996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212822.94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283619.76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192979.24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23900.75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61469.21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1176114.7999999998</v>
      </c>
      <c r="D127" s="86">
        <f>SUM(D117:D126)</f>
        <v>61469.21</v>
      </c>
      <c r="E127" s="86">
        <f>SUM(E117:E126)</f>
        <v>34766.759999999995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1069.3900000000001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1069.3900000000001</v>
      </c>
    </row>
    <row r="144" spans="1:7" ht="12.75" thickTop="1" thickBot="1">
      <c r="A144" s="33" t="s">
        <v>244</v>
      </c>
      <c r="C144" s="86">
        <f>(C114+C127+C143)</f>
        <v>4493861.1400000006</v>
      </c>
      <c r="D144" s="86">
        <f>(D114+D127+D143)</f>
        <v>61469.21</v>
      </c>
      <c r="E144" s="86">
        <f>(E114+E127+E143)</f>
        <v>131281.02000000002</v>
      </c>
      <c r="F144" s="86">
        <f>(F114+F127+F143)</f>
        <v>0</v>
      </c>
      <c r="G144" s="86">
        <f>(G114+G127+G143)</f>
        <v>1069.3900000000001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Mont Vernon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14045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14045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2477582</v>
      </c>
      <c r="D10" s="182">
        <f>ROUND((C10/$C$28)*100,1)</f>
        <v>53.4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927892</v>
      </c>
      <c r="D11" s="182">
        <f>ROUND((C11/$C$28)*100,1)</f>
        <v>20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8787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124121</v>
      </c>
      <c r="D15" s="182">
        <f t="shared" ref="D15:D27" si="0">ROUND((C15/$C$28)*100,1)</f>
        <v>2.7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178169</v>
      </c>
      <c r="D16" s="182">
        <f t="shared" si="0"/>
        <v>3.8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219170</v>
      </c>
      <c r="D17" s="182">
        <f t="shared" si="0"/>
        <v>4.7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212823</v>
      </c>
      <c r="D18" s="182">
        <f t="shared" si="0"/>
        <v>4.5999999999999996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283620</v>
      </c>
      <c r="D20" s="182">
        <f t="shared" si="0"/>
        <v>6.1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192979</v>
      </c>
      <c r="D21" s="182">
        <f t="shared" si="0"/>
        <v>4.2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11846.019999999997</v>
      </c>
      <c r="D27" s="182">
        <f t="shared" si="0"/>
        <v>0.3</v>
      </c>
    </row>
    <row r="28" spans="1:4">
      <c r="B28" s="187" t="s">
        <v>723</v>
      </c>
      <c r="C28" s="180">
        <f>SUM(C10:C27)</f>
        <v>4636989.0199999996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4636989.0199999996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2755970</v>
      </c>
      <c r="D35" s="182">
        <f t="shared" ref="D35:D40" si="1">ROUND((C35/$C$41)*100,1)</f>
        <v>61.7</v>
      </c>
    </row>
    <row r="36" spans="1:4">
      <c r="B36" s="185" t="s">
        <v>743</v>
      </c>
      <c r="C36" s="179">
        <f>SUM('DOE25'!F111:J111)-SUM('DOE25'!G96:G109)+('DOE25'!F173+'DOE25'!F174+'DOE25'!I173+'DOE25'!I174)-C35</f>
        <v>2752.2400000002235</v>
      </c>
      <c r="D36" s="182">
        <f t="shared" si="1"/>
        <v>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1343832</v>
      </c>
      <c r="D37" s="182">
        <f t="shared" si="1"/>
        <v>30.1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126542</v>
      </c>
      <c r="D38" s="182">
        <f t="shared" si="1"/>
        <v>2.8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240452</v>
      </c>
      <c r="D39" s="182">
        <f t="shared" si="1"/>
        <v>5.4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4469548.24</v>
      </c>
      <c r="D41" s="184">
        <f>SUM(D35:D40)</f>
        <v>100.10000000000001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Mont Vernon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2012-09-11T12:15:19Z</cp:lastPrinted>
  <dcterms:created xsi:type="dcterms:W3CDTF">1997-12-04T19:04:30Z</dcterms:created>
  <dcterms:modified xsi:type="dcterms:W3CDTF">2012-11-21T15:07:22Z</dcterms:modified>
</cp:coreProperties>
</file>