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D11" i="13" l="1"/>
  <c r="E10" i="13"/>
  <c r="B39" i="12"/>
  <c r="B20" i="12"/>
  <c r="B30" i="12"/>
  <c r="C19" i="12"/>
  <c r="B21" i="12"/>
  <c r="C21" i="12" s="1"/>
  <c r="C22" i="12" s="1"/>
  <c r="A22" i="12" s="1"/>
  <c r="B19" i="12"/>
  <c r="C10" i="12"/>
  <c r="B11" i="12"/>
  <c r="B10" i="12"/>
  <c r="B12" i="12"/>
  <c r="C12" i="12" s="1"/>
  <c r="F612" i="1"/>
  <c r="G612" i="1" s="1"/>
  <c r="L612" i="1" s="1"/>
  <c r="F611" i="1"/>
  <c r="G611" i="1" s="1"/>
  <c r="L611" i="1" s="1"/>
  <c r="F610" i="1"/>
  <c r="G610" i="1" s="1"/>
  <c r="H225" i="1"/>
  <c r="H215" i="1"/>
  <c r="H207" i="1"/>
  <c r="H197" i="1"/>
  <c r="J594" i="1"/>
  <c r="I594" i="1"/>
  <c r="H594" i="1"/>
  <c r="G562" i="1"/>
  <c r="G561" i="1"/>
  <c r="G532" i="1"/>
  <c r="G530" i="1"/>
  <c r="G531" i="1" s="1"/>
  <c r="G533" i="1" s="1"/>
  <c r="F532" i="1"/>
  <c r="F530" i="1"/>
  <c r="F531" i="1" s="1"/>
  <c r="G522" i="1"/>
  <c r="F522" i="1"/>
  <c r="G521" i="1"/>
  <c r="F521" i="1"/>
  <c r="L527" i="1"/>
  <c r="K265" i="1"/>
  <c r="J464" i="1"/>
  <c r="J467" i="1"/>
  <c r="G395" i="1"/>
  <c r="H399" i="1"/>
  <c r="J95" i="1"/>
  <c r="J178" i="1"/>
  <c r="F464" i="1"/>
  <c r="F498" i="1"/>
  <c r="F497" i="1"/>
  <c r="J471" i="1"/>
  <c r="G439" i="1"/>
  <c r="H158" i="1"/>
  <c r="H154" i="1"/>
  <c r="H153" i="1"/>
  <c r="H109" i="1"/>
  <c r="H151" i="1"/>
  <c r="G40" i="1"/>
  <c r="F22" i="1"/>
  <c r="H359" i="1"/>
  <c r="H357" i="1"/>
  <c r="H358" i="1" s="1"/>
  <c r="H276" i="1"/>
  <c r="G276" i="1"/>
  <c r="G520" i="1" s="1"/>
  <c r="G523" i="1" s="1"/>
  <c r="F276" i="1"/>
  <c r="F520" i="1" s="1"/>
  <c r="I294" i="1"/>
  <c r="K276" i="1"/>
  <c r="K528" i="1" s="1"/>
  <c r="F275" i="1"/>
  <c r="G275" i="1"/>
  <c r="H275" i="1"/>
  <c r="G294" i="1"/>
  <c r="F294" i="1"/>
  <c r="I275" i="1"/>
  <c r="I235" i="1"/>
  <c r="H235" i="1"/>
  <c r="G235" i="1"/>
  <c r="F235" i="1"/>
  <c r="I217" i="1"/>
  <c r="H217" i="1"/>
  <c r="G217" i="1"/>
  <c r="F217" i="1"/>
  <c r="F109" i="1"/>
  <c r="F5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9" i="1"/>
  <c r="I366" i="1"/>
  <c r="J289" i="1"/>
  <c r="F31" i="13" s="1"/>
  <c r="J308" i="1"/>
  <c r="J327" i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B18" i="12"/>
  <c r="B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 s="1"/>
  <c r="G58" i="2"/>
  <c r="G60" i="2"/>
  <c r="F2" i="1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J110" i="1"/>
  <c r="J111" i="1" s="1"/>
  <c r="F120" i="1"/>
  <c r="F135" i="1"/>
  <c r="F139" i="1" s="1"/>
  <c r="G120" i="1"/>
  <c r="G135" i="1"/>
  <c r="G139" i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1" i="1"/>
  <c r="F549" i="1" s="1"/>
  <c r="L522" i="1"/>
  <c r="F550" i="1" s="1"/>
  <c r="L526" i="1"/>
  <c r="G549" i="1" s="1"/>
  <c r="L530" i="1"/>
  <c r="H548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621" i="1" s="1"/>
  <c r="G50" i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H603" i="1" s="1"/>
  <c r="K210" i="1"/>
  <c r="F228" i="1"/>
  <c r="G228" i="1"/>
  <c r="H228" i="1"/>
  <c r="I228" i="1"/>
  <c r="J228" i="1"/>
  <c r="I603" i="1" s="1"/>
  <c r="I604" i="1" s="1"/>
  <c r="K228" i="1"/>
  <c r="F246" i="1"/>
  <c r="G246" i="1"/>
  <c r="H246" i="1"/>
  <c r="I246" i="1"/>
  <c r="J246" i="1"/>
  <c r="J603" i="1" s="1"/>
  <c r="J604" i="1" s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K336" i="1"/>
  <c r="K337" i="1"/>
  <c r="K351" i="1" s="1"/>
  <c r="F361" i="1"/>
  <c r="G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G639" i="1" s="1"/>
  <c r="H445" i="1"/>
  <c r="I445" i="1"/>
  <c r="G641" i="1" s="1"/>
  <c r="J641" i="1" s="1"/>
  <c r="F451" i="1"/>
  <c r="G451" i="1"/>
  <c r="H451" i="1"/>
  <c r="I451" i="1"/>
  <c r="F459" i="1"/>
  <c r="G459" i="1"/>
  <c r="H459" i="1"/>
  <c r="I459" i="1"/>
  <c r="F460" i="1"/>
  <c r="G460" i="1"/>
  <c r="H460" i="1"/>
  <c r="H640" i="1" s="1"/>
  <c r="J640" i="1" s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H523" i="1"/>
  <c r="I523" i="1"/>
  <c r="J523" i="1"/>
  <c r="K523" i="1"/>
  <c r="F528" i="1"/>
  <c r="G528" i="1"/>
  <c r="I528" i="1"/>
  <c r="J528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G570" i="1" s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F613" i="1"/>
  <c r="H613" i="1"/>
  <c r="I613" i="1"/>
  <c r="J613" i="1"/>
  <c r="K613" i="1"/>
  <c r="G616" i="1"/>
  <c r="G617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H639" i="1"/>
  <c r="G640" i="1"/>
  <c r="H641" i="1"/>
  <c r="G642" i="1"/>
  <c r="H642" i="1"/>
  <c r="G643" i="1"/>
  <c r="H643" i="1"/>
  <c r="G644" i="1"/>
  <c r="H644" i="1"/>
  <c r="H646" i="1"/>
  <c r="G648" i="1"/>
  <c r="G649" i="1"/>
  <c r="G650" i="1"/>
  <c r="J650" i="1" s="1"/>
  <c r="G651" i="1"/>
  <c r="H651" i="1"/>
  <c r="J651" i="1" s="1"/>
  <c r="G652" i="1"/>
  <c r="H652" i="1"/>
  <c r="J652" i="1" s="1"/>
  <c r="G653" i="1"/>
  <c r="H653" i="1"/>
  <c r="H654" i="1"/>
  <c r="J351" i="1"/>
  <c r="F191" i="1"/>
  <c r="L255" i="1"/>
  <c r="I256" i="1"/>
  <c r="I270" i="1" s="1"/>
  <c r="G256" i="1"/>
  <c r="G270" i="1" s="1"/>
  <c r="G159" i="2"/>
  <c r="C18" i="2"/>
  <c r="F31" i="2"/>
  <c r="C26" i="10"/>
  <c r="L327" i="1"/>
  <c r="H659" i="1" s="1"/>
  <c r="L350" i="1"/>
  <c r="I661" i="1"/>
  <c r="L289" i="1"/>
  <c r="A31" i="12"/>
  <c r="C69" i="2"/>
  <c r="A40" i="12"/>
  <c r="D12" i="13"/>
  <c r="C12" i="13"/>
  <c r="G161" i="2"/>
  <c r="D61" i="2"/>
  <c r="D62" i="2" s="1"/>
  <c r="D103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19" i="13"/>
  <c r="C19" i="13"/>
  <c r="D14" i="13"/>
  <c r="C14" i="13"/>
  <c r="E13" i="13"/>
  <c r="C13" i="13"/>
  <c r="E77" i="2"/>
  <c r="E80" i="2"/>
  <c r="L426" i="1"/>
  <c r="J256" i="1"/>
  <c r="J270" i="1" s="1"/>
  <c r="H111" i="1"/>
  <c r="F111" i="1"/>
  <c r="J638" i="1"/>
  <c r="J570" i="1"/>
  <c r="K570" i="1"/>
  <c r="L432" i="1"/>
  <c r="L418" i="1"/>
  <c r="D80" i="2"/>
  <c r="I168" i="1"/>
  <c r="H168" i="1"/>
  <c r="L433" i="1"/>
  <c r="G637" i="1" s="1"/>
  <c r="J637" i="1" s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C23" i="10"/>
  <c r="F168" i="1"/>
  <c r="J139" i="1"/>
  <c r="F570" i="1"/>
  <c r="H256" i="1"/>
  <c r="H270" i="1"/>
  <c r="G22" i="2"/>
  <c r="J32" i="1"/>
  <c r="K597" i="1"/>
  <c r="G646" i="1"/>
  <c r="J646" i="1" s="1"/>
  <c r="K544" i="1"/>
  <c r="C29" i="10"/>
  <c r="H139" i="1"/>
  <c r="L400" i="1"/>
  <c r="C138" i="2" s="1"/>
  <c r="L392" i="1"/>
  <c r="C137" i="2" s="1"/>
  <c r="F22" i="13"/>
  <c r="H25" i="13"/>
  <c r="H33" i="13" s="1"/>
  <c r="J633" i="1"/>
  <c r="H570" i="1"/>
  <c r="L559" i="1"/>
  <c r="J544" i="1"/>
  <c r="L336" i="1"/>
  <c r="L337" i="1" s="1"/>
  <c r="L351" i="1" s="1"/>
  <c r="G632" i="1" s="1"/>
  <c r="J632" i="1" s="1"/>
  <c r="H337" i="1"/>
  <c r="H351" i="1" s="1"/>
  <c r="F337" i="1"/>
  <c r="F351" i="1" s="1"/>
  <c r="G191" i="1"/>
  <c r="H191" i="1"/>
  <c r="H192" i="1" s="1"/>
  <c r="G628" i="1" s="1"/>
  <c r="J628" i="1" s="1"/>
  <c r="E127" i="2"/>
  <c r="C35" i="10"/>
  <c r="L308" i="1"/>
  <c r="D5" i="13"/>
  <c r="C5" i="13" s="1"/>
  <c r="E16" i="13"/>
  <c r="C16" i="13" s="1"/>
  <c r="C49" i="2"/>
  <c r="C50" i="2" s="1"/>
  <c r="J654" i="1"/>
  <c r="J644" i="1"/>
  <c r="L569" i="1"/>
  <c r="I570" i="1"/>
  <c r="I544" i="1"/>
  <c r="G36" i="2"/>
  <c r="L564" i="1"/>
  <c r="G544" i="1"/>
  <c r="C22" i="13"/>
  <c r="E33" i="13"/>
  <c r="D35" i="13" s="1"/>
  <c r="C25" i="13"/>
  <c r="F51" i="1"/>
  <c r="H616" i="1" s="1"/>
  <c r="J616" i="1" s="1"/>
  <c r="F103" i="2"/>
  <c r="K256" i="1"/>
  <c r="K270" i="1" s="1"/>
  <c r="C11" i="10"/>
  <c r="L256" i="1"/>
  <c r="L270" i="1"/>
  <c r="G631" i="1" s="1"/>
  <c r="J631" i="1" s="1"/>
  <c r="H647" i="1"/>
  <c r="F659" i="1"/>
  <c r="C103" i="2"/>
  <c r="J649" i="1"/>
  <c r="J648" i="1"/>
  <c r="J551" i="1"/>
  <c r="G550" i="1"/>
  <c r="G46" i="2"/>
  <c r="J639" i="1"/>
  <c r="G9" i="2"/>
  <c r="H433" i="1"/>
  <c r="J192" i="1"/>
  <c r="G630" i="1" s="1"/>
  <c r="J630" i="1" s="1"/>
  <c r="E90" i="2"/>
  <c r="E103" i="2" s="1"/>
  <c r="C39" i="10"/>
  <c r="J618" i="1"/>
  <c r="G51" i="1"/>
  <c r="H617" i="1" s="1"/>
  <c r="J617" i="1" s="1"/>
  <c r="G33" i="13"/>
  <c r="F192" i="1" l="1"/>
  <c r="G626" i="1" s="1"/>
  <c r="J626" i="1" s="1"/>
  <c r="C38" i="10"/>
  <c r="G42" i="2"/>
  <c r="G49" i="2" s="1"/>
  <c r="J50" i="1"/>
  <c r="G11" i="2"/>
  <c r="G18" i="2" s="1"/>
  <c r="J19" i="1"/>
  <c r="G620" i="1" s="1"/>
  <c r="G192" i="1"/>
  <c r="G627" i="1" s="1"/>
  <c r="L407" i="1"/>
  <c r="G636" i="1" s="1"/>
  <c r="J636" i="1" s="1"/>
  <c r="C139" i="2"/>
  <c r="D31" i="13"/>
  <c r="C31" i="13" s="1"/>
  <c r="F33" i="13"/>
  <c r="F143" i="2"/>
  <c r="F144" i="2" s="1"/>
  <c r="K550" i="1"/>
  <c r="L570" i="1"/>
  <c r="E144" i="2"/>
  <c r="D50" i="2"/>
  <c r="J653" i="1"/>
  <c r="I433" i="1"/>
  <c r="I191" i="1"/>
  <c r="J619" i="1"/>
  <c r="G160" i="2"/>
  <c r="I111" i="1"/>
  <c r="C36" i="10" s="1"/>
  <c r="C13" i="12"/>
  <c r="A13" i="12" s="1"/>
  <c r="J627" i="1"/>
  <c r="G645" i="1"/>
  <c r="J645" i="1" s="1"/>
  <c r="H645" i="1"/>
  <c r="C140" i="2"/>
  <c r="C143" i="2" s="1"/>
  <c r="C144" i="2" s="1"/>
  <c r="K603" i="1"/>
  <c r="K604" i="1" s="1"/>
  <c r="G647" i="1" s="1"/>
  <c r="J647" i="1" s="1"/>
  <c r="H604" i="1"/>
  <c r="G163" i="2"/>
  <c r="I551" i="1"/>
  <c r="I192" i="1"/>
  <c r="G629" i="1" s="1"/>
  <c r="J629" i="1" s="1"/>
  <c r="L520" i="1"/>
  <c r="F523" i="1"/>
  <c r="L525" i="1"/>
  <c r="H528" i="1"/>
  <c r="H544" i="1" s="1"/>
  <c r="G662" i="1"/>
  <c r="G31" i="2"/>
  <c r="G50" i="2" s="1"/>
  <c r="G62" i="2"/>
  <c r="G103" i="2" s="1"/>
  <c r="L358" i="1"/>
  <c r="H361" i="1"/>
  <c r="L531" i="1"/>
  <c r="F533" i="1"/>
  <c r="L610" i="1"/>
  <c r="L613" i="1" s="1"/>
  <c r="G613" i="1"/>
  <c r="H662" i="1"/>
  <c r="C41" i="10" l="1"/>
  <c r="D36" i="10" s="1"/>
  <c r="G625" i="1"/>
  <c r="J625" i="1" s="1"/>
  <c r="J51" i="1"/>
  <c r="H620" i="1" s="1"/>
  <c r="J620" i="1" s="1"/>
  <c r="L533" i="1"/>
  <c r="H549" i="1"/>
  <c r="F660" i="1"/>
  <c r="H660" i="1"/>
  <c r="H663" i="1" s="1"/>
  <c r="D126" i="2"/>
  <c r="D127" i="2" s="1"/>
  <c r="D144" i="2" s="1"/>
  <c r="D29" i="13"/>
  <c r="L361" i="1"/>
  <c r="G660" i="1"/>
  <c r="G659" i="1"/>
  <c r="G548" i="1"/>
  <c r="G551" i="1" s="1"/>
  <c r="L528" i="1"/>
  <c r="F548" i="1"/>
  <c r="L523" i="1"/>
  <c r="L544" i="1" s="1"/>
  <c r="F662" i="1"/>
  <c r="I662" i="1" s="1"/>
  <c r="F544" i="1"/>
  <c r="D38" i="10" l="1"/>
  <c r="D37" i="10"/>
  <c r="D39" i="10"/>
  <c r="D40" i="10"/>
  <c r="D35" i="10"/>
  <c r="D41" i="10" s="1"/>
  <c r="K548" i="1"/>
  <c r="F551" i="1"/>
  <c r="D33" i="13"/>
  <c r="D36" i="13" s="1"/>
  <c r="C29" i="13"/>
  <c r="H671" i="1"/>
  <c r="C6" i="10" s="1"/>
  <c r="H666" i="1"/>
  <c r="H551" i="1"/>
  <c r="K549" i="1"/>
  <c r="G663" i="1"/>
  <c r="I659" i="1"/>
  <c r="C27" i="10"/>
  <c r="G634" i="1"/>
  <c r="F663" i="1"/>
  <c r="I660" i="1"/>
  <c r="C28" i="10" l="1"/>
  <c r="D27" i="10" s="1"/>
  <c r="G671" i="1"/>
  <c r="C5" i="10" s="1"/>
  <c r="G666" i="1"/>
  <c r="J634" i="1"/>
  <c r="H655" i="1"/>
  <c r="I663" i="1"/>
  <c r="F666" i="1"/>
  <c r="F671" i="1"/>
  <c r="C4" i="10" s="1"/>
  <c r="K551" i="1"/>
  <c r="I671" i="1" l="1"/>
  <c r="C7" i="10" s="1"/>
  <c r="I666" i="1"/>
  <c r="D11" i="10"/>
  <c r="D17" i="10"/>
  <c r="D15" i="10"/>
  <c r="D21" i="10"/>
  <c r="D16" i="10"/>
  <c r="D26" i="10"/>
  <c r="D24" i="10"/>
  <c r="D12" i="10"/>
  <c r="D20" i="10"/>
  <c r="D18" i="10"/>
  <c r="D22" i="10"/>
  <c r="D19" i="10"/>
  <c r="D13" i="10"/>
  <c r="D23" i="10"/>
  <c r="C30" i="10"/>
  <c r="D25" i="10"/>
  <c r="D10" i="10"/>
  <c r="D28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<sst xmlns="http://schemas.openxmlformats.org/spreadsheetml/2006/main" count="3946" uniqueCount="913">
  <si>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</si>
  <si>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</si>
  <si>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</si>
  <si>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</si>
  <si>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</si>
  <si>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</si>
  <si>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</si>
  <si>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</si>
  <si>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</si>
  <si>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</si>
  <si>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</si>
  <si>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</si>
  <si>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</si>
  <si>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</si>
  <si>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</si>
  <si>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</si>
  <si>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</si>
  <si>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</si>
  <si>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</si>
  <si>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</si>
  <si>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</si>
  <si>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</si>
  <si>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</si>
  <si>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</si>
  <si>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</si>
  <si>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</si>
  <si>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</si>
  <si>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</si>
  <si>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</si>
  <si>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</si>
  <si>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</si>
  <si>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</si>
  <si>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</si>
  <si>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</si>
  <si>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</si>
  <si>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</si>
  <si>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</si>
  <si>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</si>
  <si>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</si>
  <si>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</si>
  <si>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</si>
  <si>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</si>
  <si>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</si>
  <si>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</si>
  <si>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</si>
  <si>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</si>
  <si>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</si>
  <si>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</si>
  <si>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</si>
  <si>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</si>
  <si>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</si>
  <si>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</si>
  <si>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</si>
  <si>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</si>
  <si>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</si>
  <si>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</si>
  <si>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</si>
  <si>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</si>
  <si>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</si>
  <si>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</si>
  <si>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</si>
  <si>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</si>
  <si>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</si>
  <si>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</si>
  <si>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</si>
  <si>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</si>
  <si>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</si>
  <si>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</si>
  <si>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</si>
  <si>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</si>
  <si>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</si>
  <si>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</si>
  <si>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</si>
  <si>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</si>
  <si>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</si>
  <si>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</si>
  <si>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</si>
  <si>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</si>
  <si>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</si>
  <si>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</si>
  <si>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</si>
  <si>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</si>
  <si>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</si>
  <si>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</si>
  <si>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</si>
  <si>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</si>
  <si>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</si>
  <si>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</si>
  <si>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</si>
  <si>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</si>
  <si>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</si>
  <si>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</si>
  <si>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</si>
  <si>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</si>
  <si>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</si>
  <si>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</si>
  <si>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</si>
  <si>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</si>
  <si>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</si>
  <si>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</si>
  <si>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</si>
  <si>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</si>
  <si>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</si>
  <si>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</si>
  <si>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</si>
  <si>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</si>
  <si>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</si>
  <si>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</si>
  <si>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</si>
  <si>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</si>
  <si>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</si>
  <si>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</si>
  <si>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</si>
  <si>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</si>
  <si>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</si>
  <si>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</si>
  <si>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</si>
  <si>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</si>
  <si>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</si>
  <si>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</si>
  <si>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</si>
  <si>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</si>
  <si>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</si>
  <si>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</si>
  <si>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</si>
  <si>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</si>
  <si>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</si>
  <si>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</si>
  <si>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</si>
  <si>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</si>
  <si>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</si>
  <si>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</si>
  <si>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</si>
  <si>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</si>
  <si>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</si>
  <si>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</si>
  <si>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</si>
  <si>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</si>
  <si>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</si>
  <si>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</si>
  <si>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</si>
  <si>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</si>
  <si>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</si>
  <si>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</si>
  <si>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</si>
  <si>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</si>
  <si>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</si>
  <si>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</si>
  <si>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</si>
  <si>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</si>
  <si>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</si>
  <si>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</si>
  <si>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</si>
  <si>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</si>
  <si>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</si>
  <si>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</si>
  <si>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</si>
  <si>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</si>
  <si>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</si>
  <si>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</si>
  <si>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</si>
  <si>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</si>
  <si>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</si>
  <si>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</si>
  <si>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</si>
  <si>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</si>
  <si>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</si>
  <si>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</si>
  <si>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</si>
  <si>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</si>
  <si>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</si>
  <si>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</si>
  <si>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</si>
  <si>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</si>
  <si>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</si>
  <si>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</si>
  <si>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</si>
  <si>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</si>
  <si>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</si>
  <si>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</si>
  <si>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</si>
  <si>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</si>
  <si>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</si>
  <si>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</si>
  <si>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</si>
  <si>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</si>
  <si>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</si>
  <si>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</si>
  <si>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</si>
  <si>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</si>
  <si>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</si>
  <si>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</si>
  <si>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</si>
  <si>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</si>
  <si>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</si>
  <si>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</si>
  <si>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</si>
  <si>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</si>
  <si>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</si>
  <si>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</si>
  <si>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</si>
  <si>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</si>
  <si>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</si>
  <si>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</si>
  <si>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</si>
  <si>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</si>
  <si>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</si>
  <si>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</si>
  <si>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</si>
  <si>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</si>
  <si>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</si>
  <si>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</si>
  <si>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</si>
  <si>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</si>
  <si>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</si>
  <si>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</si>
  <si>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</si>
  <si>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</si>
  <si>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</si>
  <si>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</si>
  <si>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</si>
  <si>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</si>
  <si>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</si>
  <si>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</si>
  <si>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</si>
  <si>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</si>
  <si>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</si>
  <si>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</si>
  <si>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</si>
  <si>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</si>
  <si>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</si>
  <si>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</si>
  <si>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</si>
  <si>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</si>
  <si>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</si>
  <si>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</si>
  <si>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</si>
  <si>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</si>
  <si>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</si>
  <si>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</si>
  <si>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</si>
  <si>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</si>
  <si>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</si>
  <si>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</si>
  <si>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</si>
  <si>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</si>
  <si>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</si>
  <si>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</si>
  <si>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</si>
  <si>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</si>
  <si>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</si>
  <si>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</si>
  <si>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</si>
  <si>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</si>
  <si>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</si>
  <si>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</si>
  <si>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</si>
  <si>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</si>
  <si>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</si>
  <si>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</si>
  <si>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</si>
  <si>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</si>
  <si>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</si>
  <si>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</si>
  <si>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</si>
  <si>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</si>
  <si>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</si>
  <si>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</si>
  <si>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</si>
  <si>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</si>
  <si>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</si>
  <si>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</si>
  <si>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</si>
  <si>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</si>
  <si>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</si>
  <si>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</si>
  <si>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</si>
  <si>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</si>
  <si>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</si>
  <si>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</si>
  <si>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</si>
  <si>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</si>
  <si>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</si>
  <si>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</si>
  <si>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</si>
  <si>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</si>
  <si>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</si>
  <si>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</si>
  <si>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</si>
  <si>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</si>
  <si>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</si>
  <si>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</si>
  <si>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</si>
  <si>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</si>
  <si>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</si>
  <si>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</si>
  <si>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</si>
  <si>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</si>
  <si>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</si>
  <si>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</si>
  <si>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</si>
  <si>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</si>
  <si>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</si>
  <si>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</si>
  <si>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</si>
  <si>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</si>
  <si>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</si>
  <si>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</si>
  <si>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</si>
  <si>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</si>
  <si>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</si>
  <si>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</si>
  <si>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</si>
  <si>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</si>
  <si>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</si>
  <si>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</si>
  <si>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</si>
  <si>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</si>
  <si>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</si>
  <si>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</si>
  <si>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</si>
  <si>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</si>
  <si>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</si>
  <si>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</si>
  <si>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</si>
  <si>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</si>
  <si>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</si>
  <si>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</si>
  <si>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</si>
  <si>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</si>
  <si>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</si>
  <si>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</si>
  <si>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</si>
  <si>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</si>
  <si>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</si>
  <si>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</si>
  <si>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</si>
  <si>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</si>
  <si>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</si>
  <si>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</si>
  <si>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</si>
  <si>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</si>
  <si>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</si>
  <si>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</si>
  <si>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</si>
  <si>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</si>
  <si>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</si>
  <si>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</si>
  <si>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</si>
  <si>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</si>
  <si>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</si>
  <si>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</si>
  <si>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</si>
  <si>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</si>
  <si>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</si>
  <si>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</si>
  <si>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</si>
  <si>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</si>
  <si>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</si>
  <si>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</si>
  <si>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</si>
  <si>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</si>
  <si>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</si>
  <si>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</si>
  <si>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</si>
  <si>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</si>
  <si>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</si>
  <si>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</si>
  <si>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</si>
  <si>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</si>
  <si>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</si>
  <si>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</si>
  <si>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</si>
  <si>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</si>
  <si>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</si>
  <si>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</si>
  <si>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</si>
  <si>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</si>
  <si>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</si>
  <si>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</si>
  <si>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</si>
  <si>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</si>
  <si>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</si>
  <si>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</si>
  <si>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</si>
  <si>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</si>
  <si>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</si>
  <si>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</si>
  <si>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</si>
  <si>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</si>
  <si>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</si>
  <si>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</si>
  <si>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</si>
  <si>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</si>
  <si>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</si>
  <si>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</si>
  <si>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</si>
  <si>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</si>
  <si>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</si>
  <si>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</si>
  <si>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</si>
  <si>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</si>
  <si>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</si>
  <si>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</si>
  <si>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</si>
  <si>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</si>
  <si>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</si>
  <si>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</si>
  <si>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</si>
  <si>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</si>
  <si>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</si>
  <si>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</si>
  <si>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</si>
  <si>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</si>
  <si>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</si>
  <si>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</si>
  <si>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</si>
  <si>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</si>
  <si>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</si>
  <si>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</si>
  <si>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</si>
  <si>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</si>
  <si>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</si>
  <si>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</si>
  <si>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</si>
  <si>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</si>
  <si>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</si>
  <si>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</si>
  <si>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</si>
  <si>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</si>
  <si>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</si>
  <si>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</si>
  <si>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</si>
  <si>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</si>
  <si>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</si>
  <si>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</si>
  <si>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</si>
  <si>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</si>
  <si>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</si>
  <si>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</si>
  <si>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</si>
  <si>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</si>
  <si>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</si>
  <si>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</si>
  <si>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</si>
  <si>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</si>
  <si>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</si>
  <si>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</si>
  <si>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</si>
  <si>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</si>
  <si>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</si>
  <si>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</si>
  <si>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</si>
  <si>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</si>
  <si>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</si>
  <si>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</si>
  <si>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</si>
  <si>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</si>
  <si>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</si>
  <si>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</si>
  <si>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</si>
  <si>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</si>
  <si>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</si>
  <si>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</si>
  <si>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</si>
  <si>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</si>
  <si>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</si>
  <si>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</si>
  <si>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</si>
  <si>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</si>
  <si>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</si>
  <si>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</si>
  <si>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</si>
  <si>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</si>
  <si>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</si>
  <si>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</si>
  <si>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</si>
  <si>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</si>
  <si>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</si>
  <si>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</si>
  <si>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</si>
  <si>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</si>
  <si>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</si>
  <si>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</si>
  <si>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</si>
  <si>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</si>
  <si>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</si>
  <si>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</si>
  <si>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</si>
  <si>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</si>
  <si>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</si>
  <si>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</si>
  <si>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</si>
  <si>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</si>
  <si>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</si>
  <si>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</si>
  <si>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</si>
  <si>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</si>
  <si>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</si>
  <si>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</si>
  <si>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</si>
  <si>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</si>
  <si>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</si>
  <si>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</si>
  <si>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</si>
  <si>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</si>
  <si>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</si>
  <si>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</si>
  <si>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</si>
  <si>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</si>
  <si>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</si>
  <si>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</si>
  <si>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</si>
  <si>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</si>
  <si>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</si>
  <si>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</si>
  <si>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</si>
  <si>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</si>
  <si>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</si>
  <si>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</si>
  <si>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</si>
  <si>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</si>
  <si>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</si>
  <si>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</si>
  <si>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</si>
  <si>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</si>
  <si>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</si>
  <si>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</si>
  <si>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</si>
  <si>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</si>
  <si>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</si>
  <si>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</si>
  <si>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</si>
  <si>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</si>
  <si>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</si>
  <si>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</si>
  <si>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</si>
  <si>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</si>
  <si>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</si>
  <si>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</si>
  <si>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</si>
  <si>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</si>
  <si>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</si>
  <si>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</si>
  <si>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</si>
  <si>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</si>
  <si>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</si>
  <si>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</si>
  <si>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</si>
  <si>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</si>
  <si>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</si>
  <si>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</si>
  <si>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</si>
  <si>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</si>
  <si>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</si>
  <si>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</si>
  <si>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</si>
  <si>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</si>
  <si>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</si>
  <si>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</si>
  <si>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</si>
  <si>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</si>
  <si>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</si>
  <si>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</si>
  <si>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</si>
  <si>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</si>
  <si>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</si>
  <si>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</si>
  <si>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</si>
  <si>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</si>
  <si>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</si>
  <si>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</si>
  <si>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</si>
  <si>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</si>
  <si>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</si>
  <si>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</si>
  <si>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</si>
  <si>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</si>
  <si>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</si>
  <si>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</si>
  <si>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</si>
  <si>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</si>
  <si>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</si>
  <si>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</si>
  <si>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</si>
  <si>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</si>
  <si>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</si>
  <si>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</si>
  <si>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</si>
  <si>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</si>
  <si>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</si>
  <si>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</si>
  <si>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</si>
  <si>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</si>
  <si>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</si>
  <si>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</si>
  <si>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</si>
  <si>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</si>
  <si>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</si>
  <si>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</si>
  <si>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</si>
  <si>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</si>
  <si>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</si>
  <si>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</si>
  <si>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</si>
  <si>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</si>
  <si>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</si>
  <si>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</si>
  <si>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</si>
  <si>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</si>
  <si>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</si>
  <si>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</si>
  <si>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</si>
  <si>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</si>
  <si>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</si>
  <si>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</si>
  <si>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</si>
  <si>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</si>
  <si>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</si>
  <si>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</si>
  <si>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</si>
  <si>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</si>
  <si>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</si>
  <si>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</si>
  <si>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</si>
  <si>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</si>
  <si>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</si>
  <si>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</si>
  <si>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</si>
  <si>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</si>
  <si>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</si>
  <si>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</si>
  <si>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</si>
  <si>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</si>
  <si>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</si>
  <si>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</si>
  <si>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</si>
  <si>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</si>
  <si>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</si>
  <si>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</si>
  <si>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</si>
  <si>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</si>
  <si>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</si>
  <si>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</si>
  <si>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</si>
  <si>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</si>
  <si>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</si>
  <si>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</si>
  <si>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</si>
  <si>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</si>
  <si>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</si>
  <si>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</si>
  <si>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</si>
  <si>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</si>
  <si>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</si>
  <si>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</si>
  <si>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</si>
  <si>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</si>
  <si>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</si>
  <si>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</si>
  <si>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</si>
  <si>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</si>
  <si>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</si>
  <si>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</si>
  <si>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</si>
  <si>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</si>
  <si>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</si>
  <si>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</si>
  <si>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</si>
  <si>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</si>
  <si>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</si>
  <si>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</si>
  <si>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</si>
  <si>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</si>
  <si>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</si>
  <si>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</si>
  <si>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</si>
  <si>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</si>
  <si>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</si>
  <si>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</si>
  <si>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</si>
  <si>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</si>
  <si>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</si>
  <si>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</si>
  <si>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</si>
  <si>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</si>
  <si>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</si>
  <si>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</si>
  <si>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</si>
  <si>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</si>
  <si>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</si>
  <si>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</si>
  <si>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</si>
  <si>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</si>
  <si>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</si>
  <si>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</si>
  <si>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</si>
  <si>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</si>
  <si>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</si>
  <si>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</si>
  <si>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</si>
  <si>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</si>
  <si>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</si>
  <si>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</si>
  <si>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</si>
  <si>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</si>
  <si>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</si>
  <si>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</si>
  <si>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</si>
  <si>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</si>
  <si>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</si>
  <si>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</si>
  <si>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</si>
  <si>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</si>
  <si>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</si>
  <si>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</si>
  <si>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</si>
  <si>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</si>
  <si>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</si>
  <si>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</si>
  <si>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</si>
  <si>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</si>
  <si>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</si>
  <si>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</si>
  <si>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</si>
  <si>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</si>
  <si>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</si>
  <si>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</si>
  <si>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</si>
  <si>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</si>
  <si>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</si>
  <si>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</si>
  <si>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</si>
  <si>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</si>
  <si>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</si>
  <si>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</si>
  <si>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</si>
  <si>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</si>
  <si>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</si>
  <si>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</si>
  <si>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</si>
  <si>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</si>
  <si>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</si>
  <si>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</si>
  <si>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</si>
  <si>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</si>
  <si>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</si>
  <si>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</si>
  <si>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</si>
  <si>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</si>
  <si>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</si>
  <si>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</si>
  <si>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</si>
  <si>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</si>
  <si>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</si>
  <si>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</si>
  <si>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</si>
  <si>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</si>
  <si>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</si>
  <si>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</si>
  <si>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</si>
  <si>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</si>
  <si>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</si>
  <si>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</si>
  <si>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</si>
  <si>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</si>
  <si>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</si>
  <si>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</si>
  <si>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</si>
  <si>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</si>
  <si>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</si>
  <si>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</si>
  <si>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</si>
  <si>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</si>
  <si>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</si>
  <si>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</si>
  <si>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</si>
  <si>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</si>
  <si>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</si>
  <si>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</si>
  <si>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</si>
  <si>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</si>
  <si>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</si>
  <si>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</si>
  <si>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</si>
  <si>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</si>
  <si>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</si>
  <si>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</si>
  <si>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</si>
  <si>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</si>
  <si>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</si>
  <si>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</si>
  <si>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</si>
  <si>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</si>
  <si>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</si>
  <si>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</si>
  <si>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</si>
  <si>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</si>
  <si>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</si>
  <si>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</si>
  <si>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</si>
  <si>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</si>
  <si>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</si>
  <si>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</si>
  <si>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</si>
  <si>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</si>
  <si>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</si>
  <si>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</si>
  <si>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</si>
  <si>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</si>
  <si>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</si>
  <si>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</si>
  <si>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</si>
  <si>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</si>
  <si>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</si>
  <si>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</si>
  <si>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</si>
  <si>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</si>
  <si>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</si>
  <si>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</si>
  <si>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</si>
  <si>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</si>
  <si>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</si>
  <si>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</si>
  <si>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</si>
  <si>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</si>
  <si>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</si>
  <si>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</si>
  <si>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</si>
  <si>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</si>
  <si>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</si>
  <si>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</si>
  <si>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</si>
  <si>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</si>
  <si>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</si>
  <si>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</si>
  <si>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</si>
  <si>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</si>
  <si>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</si>
  <si>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</si>
  <si>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</si>
  <si>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</si>
  <si>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</si>
  <si>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</si>
  <si>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</si>
  <si>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</si>
  <si>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</si>
  <si>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</si>
  <si>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</si>
  <si>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</si>
  <si>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</si>
  <si>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</si>
  <si>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</si>
  <si>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</si>
  <si>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</si>
  <si>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</si>
  <si>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</si>
  <si>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</si>
  <si>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</si>
  <si>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</si>
  <si>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</si>
  <si>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</si>
  <si>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</si>
  <si>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</si>
  <si>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</si>
  <si>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</si>
  <si>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</si>
  <si>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</si>
  <si>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</si>
  <si>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</si>
  <si>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</si>
  <si>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</si>
  <si>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</si>
  <si>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</si>
  <si>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</si>
  <si>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</si>
  <si>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</si>
  <si>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</si>
  <si>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</si>
  <si>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</si>
  <si>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</si>
  <si>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</si>
  <si>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</si>
  <si>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</si>
  <si>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</si>
  <si>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</si>
  <si>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</si>
  <si>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</si>
  <si>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</si>
  <si>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</si>
  <si>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</si>
  <si>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</si>
  <si>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</si>
  <si>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</si>
  <si>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</si>
  <si>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</si>
  <si>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</si>
  <si>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</si>
  <si>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</si>
  <si>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</si>
  <si>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</si>
  <si>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</si>
  <si>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</si>
  <si>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</si>
  <si>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</si>
  <si>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</si>
  <si>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</si>
  <si>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</si>
  <si>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</si>
  <si>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04/2003</t>
  </si>
  <si>
    <t>01/2018</t>
  </si>
  <si>
    <t>missed 2k approp to expendable trust at end of FY11</t>
  </si>
  <si>
    <t>Moultonborough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</si>
</sst>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912</v>
      </c>
      <c r="B2" s="21">
        <v>369</v>
      </c>
      <c r="C2" s="21">
        <v>369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781949.21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1114577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36193.61</v>
      </c>
      <c r="G13" s="18">
        <v>5256.58</v>
      </c>
      <c r="H13" s="18">
        <v>148179.38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10842.5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818142.82</v>
      </c>
      <c r="G19" s="41">
        <f>SUM(G9:G18)</f>
        <v>16099.08</v>
      </c>
      <c r="H19" s="41">
        <f>SUM(H9:H18)</f>
        <v>148179.38</v>
      </c>
      <c r="I19" s="41">
        <f>SUM(I9:I18)</f>
        <v>0</v>
      </c>
      <c r="J19" s="41">
        <f>SUM(J9:J18)</f>
        <v>1114577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75000+157848.62</f>
        <v>232848.62</v>
      </c>
      <c r="G22" s="18">
        <v>12858.54</v>
      </c>
      <c r="H22" s="18">
        <v>135800.87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9096.65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12378.51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241945.27</v>
      </c>
      <c r="G32" s="41">
        <f>SUM(G22:G31)</f>
        <v>12858.54</v>
      </c>
      <c r="H32" s="41">
        <f>SUM(H22:H31)</f>
        <v>148179.38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3217.65+22.89</f>
        <v>3240.54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1114577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308329.62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192867.93-50000</f>
        <v>142867.93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576197.55000000005</v>
      </c>
      <c r="G50" s="41">
        <f>SUM(G35:G49)</f>
        <v>3240.54</v>
      </c>
      <c r="H50" s="41">
        <f>SUM(H35:H49)</f>
        <v>0</v>
      </c>
      <c r="I50" s="41">
        <f>SUM(I35:I49)</f>
        <v>0</v>
      </c>
      <c r="J50" s="41">
        <f>SUM(J35:J49)</f>
        <v>1114577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818142.82000000007</v>
      </c>
      <c r="G51" s="41">
        <f>G50+G32</f>
        <v>16099.080000000002</v>
      </c>
      <c r="H51" s="41">
        <f>H50+H32</f>
        <v>148179.38</v>
      </c>
      <c r="I51" s="41">
        <f>I50+I32</f>
        <v>0</v>
      </c>
      <c r="J51" s="41">
        <f>J50+J32</f>
        <v>1114577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12332884-6931025</f>
        <v>5401859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5401859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12040.88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17850.68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29891.559999999998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378.77</v>
      </c>
      <c r="G95" s="18"/>
      <c r="H95" s="18"/>
      <c r="I95" s="18"/>
      <c r="J95" s="18">
        <f>2036+5393+856+1692+765</f>
        <v>10742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189176.37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100+4138.35</f>
        <v>4238.3500000000004</v>
      </c>
      <c r="G109" s="18"/>
      <c r="H109" s="18">
        <f>6130.57+500</f>
        <v>6630.57</v>
      </c>
      <c r="I109" s="18"/>
      <c r="J109" s="18">
        <v>1304352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4617.1200000000008</v>
      </c>
      <c r="G110" s="41">
        <f>SUM(G95:G109)</f>
        <v>189176.37</v>
      </c>
      <c r="H110" s="41">
        <f>SUM(H95:H109)</f>
        <v>6630.57</v>
      </c>
      <c r="I110" s="41">
        <f>SUM(I95:I109)</f>
        <v>0</v>
      </c>
      <c r="J110" s="41">
        <f>SUM(J95:J109)</f>
        <v>1315094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5436367.6799999997</v>
      </c>
      <c r="G111" s="41">
        <f>G59+G110</f>
        <v>189176.37</v>
      </c>
      <c r="H111" s="41">
        <f>H59+H78+H93+H110</f>
        <v>6630.57</v>
      </c>
      <c r="I111" s="41">
        <f>I59+I110</f>
        <v>0</v>
      </c>
      <c r="J111" s="41">
        <f>J59+J110</f>
        <v>1315094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6931025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6931025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242982.31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2179.2199999999998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11383.59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256545.12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7187570.1200000001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>
        <f>9197.84</f>
        <v>9197.84</v>
      </c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9139.08+88241.36+4000</f>
        <v>101380.44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60933.84</f>
        <v>60933.84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87599.59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160941.82+2482.37</f>
        <v>163424.19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110101.17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12786.37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110101.17</v>
      </c>
      <c r="G161" s="41">
        <f>SUM(G149:G160)</f>
        <v>100385.95999999999</v>
      </c>
      <c r="H161" s="41">
        <f>SUM(H149:H160)</f>
        <v>334936.31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110101.17</v>
      </c>
      <c r="G168" s="41">
        <f>G146+G161+SUM(G162:G167)</f>
        <v>100385.95999999999</v>
      </c>
      <c r="H168" s="41">
        <f>H146+H161+SUM(H162:H167)</f>
        <v>334936.31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f>50000</f>
        <v>50000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100000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12834038.970000001</v>
      </c>
      <c r="G192" s="47">
        <f>G111+G139+G168+G191</f>
        <v>289562.32999999996</v>
      </c>
      <c r="H192" s="47">
        <f>H111+H139+H168+H191</f>
        <v>341566.88</v>
      </c>
      <c r="I192" s="47">
        <f>I111+I139+I168+I191</f>
        <v>0</v>
      </c>
      <c r="J192" s="47">
        <f>J111+J139+J191</f>
        <v>1365094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1772782.62</v>
      </c>
      <c r="G196" s="18">
        <v>688201.54</v>
      </c>
      <c r="H196" s="18">
        <v>12249</v>
      </c>
      <c r="I196" s="18">
        <v>70539.429999999993</v>
      </c>
      <c r="J196" s="18">
        <v>6459.23</v>
      </c>
      <c r="K196" s="18"/>
      <c r="L196" s="19">
        <f>SUM(F196:K196)</f>
        <v>2550231.8200000003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719005.71</v>
      </c>
      <c r="G197" s="18">
        <v>245226.77</v>
      </c>
      <c r="H197" s="18">
        <f>147229.46-10835.55</f>
        <v>136393.91</v>
      </c>
      <c r="I197" s="18">
        <v>11334.79</v>
      </c>
      <c r="J197" s="18">
        <v>189.52</v>
      </c>
      <c r="K197" s="18">
        <v>1525.26</v>
      </c>
      <c r="L197" s="19">
        <f>SUM(F197:K197)</f>
        <v>1113675.96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5749.92</v>
      </c>
      <c r="G198" s="18">
        <v>439.78</v>
      </c>
      <c r="H198" s="18"/>
      <c r="I198" s="18">
        <v>569.02</v>
      </c>
      <c r="J198" s="18"/>
      <c r="K198" s="18"/>
      <c r="L198" s="19">
        <f>SUM(F198:K198)</f>
        <v>6758.7199999999993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15727.5</v>
      </c>
      <c r="G199" s="18">
        <v>2563.12</v>
      </c>
      <c r="H199" s="18">
        <v>2923.49</v>
      </c>
      <c r="I199" s="18">
        <v>1035.02</v>
      </c>
      <c r="J199" s="18"/>
      <c r="K199" s="18"/>
      <c r="L199" s="19">
        <f>SUM(F199:K199)</f>
        <v>22249.13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134185</v>
      </c>
      <c r="G201" s="18">
        <v>53952.46</v>
      </c>
      <c r="H201" s="18">
        <v>200</v>
      </c>
      <c r="I201" s="18">
        <v>3894.34</v>
      </c>
      <c r="J201" s="18">
        <v>624.71</v>
      </c>
      <c r="K201" s="18">
        <v>144</v>
      </c>
      <c r="L201" s="19">
        <f t="shared" ref="L201:L207" si="0">SUM(F201:K201)</f>
        <v>193000.50999999998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127895.83</v>
      </c>
      <c r="G202" s="18">
        <v>100730.81</v>
      </c>
      <c r="H202" s="18">
        <v>33365.339999999997</v>
      </c>
      <c r="I202" s="18">
        <v>30567.360000000001</v>
      </c>
      <c r="J202" s="18">
        <v>38930.339999999997</v>
      </c>
      <c r="K202" s="18"/>
      <c r="L202" s="19">
        <f t="shared" si="0"/>
        <v>331489.68000000005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143045.84</v>
      </c>
      <c r="G203" s="18">
        <v>47575.65</v>
      </c>
      <c r="H203" s="18">
        <v>20701.87</v>
      </c>
      <c r="I203" s="18">
        <v>11916.84</v>
      </c>
      <c r="J203" s="18"/>
      <c r="K203" s="18">
        <v>9787.32</v>
      </c>
      <c r="L203" s="19">
        <f t="shared" si="0"/>
        <v>233027.52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217265.64</v>
      </c>
      <c r="G204" s="18">
        <v>77014.45</v>
      </c>
      <c r="H204" s="18">
        <v>7738.48</v>
      </c>
      <c r="I204" s="18">
        <v>1856.16</v>
      </c>
      <c r="J204" s="18"/>
      <c r="K204" s="18"/>
      <c r="L204" s="19">
        <f t="shared" si="0"/>
        <v>303874.73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150553.38</v>
      </c>
      <c r="G206" s="18">
        <v>51293.15</v>
      </c>
      <c r="H206" s="18">
        <v>167424.39000000001</v>
      </c>
      <c r="I206" s="18">
        <v>156260.59</v>
      </c>
      <c r="J206" s="18">
        <v>251.99</v>
      </c>
      <c r="K206" s="18"/>
      <c r="L206" s="19">
        <f t="shared" si="0"/>
        <v>525783.5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151315.37+10835.55</f>
        <v>162150.91999999998</v>
      </c>
      <c r="I207" s="18">
        <v>260</v>
      </c>
      <c r="J207" s="18"/>
      <c r="K207" s="18"/>
      <c r="L207" s="19">
        <f t="shared" si="0"/>
        <v>162410.91999999998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3286211.44</v>
      </c>
      <c r="G210" s="41">
        <f t="shared" si="1"/>
        <v>1266997.7299999997</v>
      </c>
      <c r="H210" s="41">
        <f t="shared" si="1"/>
        <v>543147.39999999991</v>
      </c>
      <c r="I210" s="41">
        <f t="shared" si="1"/>
        <v>288233.55</v>
      </c>
      <c r="J210" s="41">
        <f t="shared" si="1"/>
        <v>46455.789999999994</v>
      </c>
      <c r="K210" s="41">
        <f t="shared" si="1"/>
        <v>11456.58</v>
      </c>
      <c r="L210" s="41">
        <f t="shared" si="1"/>
        <v>5442502.4900000002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559590.91</v>
      </c>
      <c r="G214" s="18">
        <v>239326.44</v>
      </c>
      <c r="H214" s="18">
        <v>3675</v>
      </c>
      <c r="I214" s="18">
        <v>40582.44</v>
      </c>
      <c r="J214" s="18">
        <v>4056.71</v>
      </c>
      <c r="K214" s="18"/>
      <c r="L214" s="19">
        <f>SUM(F214:K214)</f>
        <v>847231.5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246332.38</v>
      </c>
      <c r="G215" s="18">
        <v>85928.61</v>
      </c>
      <c r="H215" s="18">
        <f>92991.93-28000</f>
        <v>64991.929999999993</v>
      </c>
      <c r="I215" s="18">
        <v>2218.06</v>
      </c>
      <c r="J215" s="18">
        <v>678</v>
      </c>
      <c r="K215" s="18"/>
      <c r="L215" s="19">
        <f>SUM(F215:K215)</f>
        <v>400148.98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1954.92</v>
      </c>
      <c r="G216" s="18">
        <v>149.6</v>
      </c>
      <c r="H216" s="18"/>
      <c r="I216" s="18"/>
      <c r="J216" s="18"/>
      <c r="K216" s="18"/>
      <c r="L216" s="19">
        <f>SUM(F216:K216)</f>
        <v>2104.52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31465.95+9808.81</f>
        <v>41274.76</v>
      </c>
      <c r="G217" s="18">
        <f>4443.05+938.25</f>
        <v>5381.3</v>
      </c>
      <c r="H217" s="18">
        <f>5765</f>
        <v>5765</v>
      </c>
      <c r="I217" s="18">
        <f>20649.77+789.47</f>
        <v>21439.24</v>
      </c>
      <c r="J217" s="18">
        <v>6497.38</v>
      </c>
      <c r="K217" s="18">
        <v>2304</v>
      </c>
      <c r="L217" s="19">
        <f>SUM(F217:K217)</f>
        <v>82661.680000000008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78941.850000000006</v>
      </c>
      <c r="G219" s="18">
        <v>16081.03</v>
      </c>
      <c r="H219" s="18">
        <v>965</v>
      </c>
      <c r="I219" s="18">
        <v>1520.16</v>
      </c>
      <c r="J219" s="18"/>
      <c r="K219" s="18"/>
      <c r="L219" s="19">
        <f t="shared" ref="L219:L225" si="2">SUM(F219:K219)</f>
        <v>97508.040000000008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94991.31</v>
      </c>
      <c r="G220" s="18">
        <v>57586.97</v>
      </c>
      <c r="H220" s="18">
        <v>12517.7</v>
      </c>
      <c r="I220" s="18">
        <v>13940.44</v>
      </c>
      <c r="J220" s="18">
        <v>29874.48</v>
      </c>
      <c r="K220" s="18">
        <v>1180</v>
      </c>
      <c r="L220" s="19">
        <f t="shared" si="2"/>
        <v>210090.90000000002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69704.100000000006</v>
      </c>
      <c r="G221" s="18">
        <v>24760.27</v>
      </c>
      <c r="H221" s="18">
        <v>5560.34</v>
      </c>
      <c r="I221" s="18">
        <v>2876.07</v>
      </c>
      <c r="J221" s="18"/>
      <c r="K221" s="18">
        <v>3472.74</v>
      </c>
      <c r="L221" s="19">
        <f t="shared" si="2"/>
        <v>106373.52000000002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56665.96</v>
      </c>
      <c r="G222" s="18">
        <v>23900.62</v>
      </c>
      <c r="H222" s="18">
        <v>5058.82</v>
      </c>
      <c r="I222" s="18">
        <v>322.75</v>
      </c>
      <c r="J222" s="18">
        <v>556.4</v>
      </c>
      <c r="K222" s="18"/>
      <c r="L222" s="19">
        <f t="shared" si="2"/>
        <v>86504.549999999988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78047.78</v>
      </c>
      <c r="G224" s="18">
        <v>14258.54</v>
      </c>
      <c r="H224" s="18">
        <v>68352.87</v>
      </c>
      <c r="I224" s="18">
        <v>83433.929999999993</v>
      </c>
      <c r="J224" s="18"/>
      <c r="K224" s="18"/>
      <c r="L224" s="19">
        <f t="shared" si="2"/>
        <v>244093.12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69899.63+28000</f>
        <v>97899.63</v>
      </c>
      <c r="I225" s="18">
        <v>103.33</v>
      </c>
      <c r="J225" s="18"/>
      <c r="K225" s="18"/>
      <c r="L225" s="19">
        <f t="shared" si="2"/>
        <v>98002.96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1227503.9700000002</v>
      </c>
      <c r="G228" s="41">
        <f>SUM(G214:G227)</f>
        <v>467373.37999999995</v>
      </c>
      <c r="H228" s="41">
        <f>SUM(H214:H227)</f>
        <v>264786.28999999998</v>
      </c>
      <c r="I228" s="41">
        <f>SUM(I214:I227)</f>
        <v>166436.42000000001</v>
      </c>
      <c r="J228" s="41">
        <f>SUM(J214:J227)</f>
        <v>41662.97</v>
      </c>
      <c r="K228" s="41">
        <f t="shared" si="3"/>
        <v>6956.74</v>
      </c>
      <c r="L228" s="41">
        <f t="shared" si="3"/>
        <v>2174719.77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1379701.61</v>
      </c>
      <c r="G232" s="18">
        <v>586486.91</v>
      </c>
      <c r="H232" s="18"/>
      <c r="I232" s="18">
        <v>70832.320000000007</v>
      </c>
      <c r="J232" s="18">
        <v>19126.03</v>
      </c>
      <c r="K232" s="18"/>
      <c r="L232" s="19">
        <f>SUM(F232:K232)</f>
        <v>2056146.87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372880.06</v>
      </c>
      <c r="G233" s="18">
        <v>133254.82999999999</v>
      </c>
      <c r="H233" s="18">
        <v>89364.54</v>
      </c>
      <c r="I233" s="18">
        <v>1287.02</v>
      </c>
      <c r="J233" s="18"/>
      <c r="K233" s="18"/>
      <c r="L233" s="19">
        <f>SUM(F233:K233)</f>
        <v>596786.45000000007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12730.4</v>
      </c>
      <c r="G234" s="18">
        <v>973.95</v>
      </c>
      <c r="H234" s="18">
        <v>16948.07</v>
      </c>
      <c r="I234" s="18">
        <v>13002.61</v>
      </c>
      <c r="J234" s="18"/>
      <c r="K234" s="18"/>
      <c r="L234" s="19">
        <f>SUM(F234:K234)</f>
        <v>43655.03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97530.25+11901.25</f>
        <v>109431.5</v>
      </c>
      <c r="G235" s="18">
        <f>15358.81+2098.28</f>
        <v>17457.09</v>
      </c>
      <c r="H235" s="18">
        <f>19593</f>
        <v>19593</v>
      </c>
      <c r="I235" s="18">
        <f>40468.6+426.49</f>
        <v>40895.089999999997</v>
      </c>
      <c r="J235" s="18">
        <v>8879.07</v>
      </c>
      <c r="K235" s="18">
        <v>7732.5</v>
      </c>
      <c r="L235" s="19">
        <f>SUM(F235:K235)</f>
        <v>203988.25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103186.9</v>
      </c>
      <c r="G237" s="18">
        <v>37665.01</v>
      </c>
      <c r="H237" s="18">
        <v>1347</v>
      </c>
      <c r="I237" s="18">
        <v>1976.64</v>
      </c>
      <c r="J237" s="18">
        <v>38.090000000000003</v>
      </c>
      <c r="K237" s="18"/>
      <c r="L237" s="19">
        <f t="shared" ref="L237:L243" si="4">SUM(F237:K237)</f>
        <v>144213.64000000001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147124.78</v>
      </c>
      <c r="G238" s="18">
        <v>83742.45</v>
      </c>
      <c r="H238" s="18">
        <v>27353.72</v>
      </c>
      <c r="I238" s="18">
        <v>32441.119999999999</v>
      </c>
      <c r="J238" s="18">
        <v>65659.55</v>
      </c>
      <c r="K238" s="18">
        <v>3767</v>
      </c>
      <c r="L238" s="19">
        <f t="shared" si="4"/>
        <v>360088.62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95210.79</v>
      </c>
      <c r="G239" s="18">
        <v>32196.68</v>
      </c>
      <c r="H239" s="18">
        <v>11999.78</v>
      </c>
      <c r="I239" s="18">
        <v>6195.59</v>
      </c>
      <c r="J239" s="18"/>
      <c r="K239" s="18">
        <v>8500.6200000000008</v>
      </c>
      <c r="L239" s="19">
        <f t="shared" si="4"/>
        <v>154103.46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178243</v>
      </c>
      <c r="G240" s="18">
        <v>80675.44</v>
      </c>
      <c r="H240" s="18">
        <v>14722.28</v>
      </c>
      <c r="I240" s="18">
        <v>963.59</v>
      </c>
      <c r="J240" s="18">
        <v>337.8</v>
      </c>
      <c r="K240" s="18">
        <v>9164.65</v>
      </c>
      <c r="L240" s="19">
        <f t="shared" si="4"/>
        <v>284106.76000000007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183595.71</v>
      </c>
      <c r="G242" s="18">
        <v>105496</v>
      </c>
      <c r="H242" s="18">
        <v>139561.22</v>
      </c>
      <c r="I242" s="18">
        <v>117036.02</v>
      </c>
      <c r="J242" s="18"/>
      <c r="K242" s="18"/>
      <c r="L242" s="19">
        <f t="shared" si="4"/>
        <v>545688.94999999995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189995.11</v>
      </c>
      <c r="I243" s="18">
        <v>237.63</v>
      </c>
      <c r="J243" s="18"/>
      <c r="K243" s="18"/>
      <c r="L243" s="19">
        <f t="shared" si="4"/>
        <v>190232.74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2582104.75</v>
      </c>
      <c r="G246" s="41">
        <f t="shared" si="5"/>
        <v>1077948.3599999999</v>
      </c>
      <c r="H246" s="41">
        <f t="shared" si="5"/>
        <v>510884.72</v>
      </c>
      <c r="I246" s="41">
        <f t="shared" si="5"/>
        <v>284867.63</v>
      </c>
      <c r="J246" s="41">
        <f t="shared" si="5"/>
        <v>94040.540000000008</v>
      </c>
      <c r="K246" s="41">
        <f t="shared" si="5"/>
        <v>29164.770000000004</v>
      </c>
      <c r="L246" s="41">
        <f t="shared" si="5"/>
        <v>4579010.7700000005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7095820.1600000001</v>
      </c>
      <c r="G256" s="41">
        <f t="shared" si="8"/>
        <v>2812319.4699999997</v>
      </c>
      <c r="H256" s="41">
        <f t="shared" si="8"/>
        <v>1318818.4099999999</v>
      </c>
      <c r="I256" s="41">
        <f t="shared" si="8"/>
        <v>739537.6</v>
      </c>
      <c r="J256" s="41">
        <f t="shared" si="8"/>
        <v>182159.3</v>
      </c>
      <c r="K256" s="41">
        <f t="shared" si="8"/>
        <v>47578.090000000004</v>
      </c>
      <c r="L256" s="41">
        <f t="shared" si="8"/>
        <v>12196233.030000001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748190</v>
      </c>
      <c r="L259" s="19">
        <f>SUM(F259:K259)</f>
        <v>748190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227848</v>
      </c>
      <c r="L260" s="19">
        <f>SUM(F260:K260)</f>
        <v>227848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50000</f>
        <v>50000</v>
      </c>
      <c r="L265" s="19">
        <f t="shared" si="9"/>
        <v>50000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1026038</v>
      </c>
      <c r="L269" s="41">
        <f t="shared" si="9"/>
        <v>1026038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7095820.1600000001</v>
      </c>
      <c r="G270" s="42">
        <f t="shared" si="11"/>
        <v>2812319.4699999997</v>
      </c>
      <c r="H270" s="42">
        <f t="shared" si="11"/>
        <v>1318818.4099999999</v>
      </c>
      <c r="I270" s="42">
        <f t="shared" si="11"/>
        <v>739537.6</v>
      </c>
      <c r="J270" s="42">
        <f t="shared" si="11"/>
        <v>182159.3</v>
      </c>
      <c r="K270" s="42">
        <f t="shared" si="11"/>
        <v>1073616.0900000001</v>
      </c>
      <c r="L270" s="42">
        <f t="shared" si="11"/>
        <v>13222271.030000001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7767.44+64686.56+52719.89+4000</f>
        <v>129173.89</v>
      </c>
      <c r="G275" s="18">
        <f>430.04+106.51+3954.27+4732.92+7164.95+4010+4203.95</f>
        <v>24602.639999999999</v>
      </c>
      <c r="H275" s="18">
        <f>7702.66</f>
        <v>7702.66</v>
      </c>
      <c r="I275" s="18">
        <f>835.09</f>
        <v>835.09</v>
      </c>
      <c r="J275" s="18"/>
      <c r="K275" s="18"/>
      <c r="L275" s="19">
        <f>SUM(F275:K275)</f>
        <v>162314.28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111937.95+2440.88+5517.69</f>
        <v>119896.52</v>
      </c>
      <c r="G276" s="18">
        <f>17204.63+7192.33+7706.64+917.82+1355.74</f>
        <v>34377.159999999996</v>
      </c>
      <c r="H276" s="18">
        <f>14210+1406.59</f>
        <v>15616.59</v>
      </c>
      <c r="I276" s="18"/>
      <c r="J276" s="18"/>
      <c r="K276" s="18">
        <f>2690.27+41.49</f>
        <v>2731.7599999999998</v>
      </c>
      <c r="L276" s="19">
        <f>SUM(F276:K276)</f>
        <v>172622.03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249070.41</v>
      </c>
      <c r="G289" s="42">
        <f t="shared" si="13"/>
        <v>58979.799999999996</v>
      </c>
      <c r="H289" s="42">
        <f t="shared" si="13"/>
        <v>23319.25</v>
      </c>
      <c r="I289" s="42">
        <f t="shared" si="13"/>
        <v>835.09</v>
      </c>
      <c r="J289" s="42">
        <f t="shared" si="13"/>
        <v>0</v>
      </c>
      <c r="K289" s="42">
        <f t="shared" si="13"/>
        <v>2731.7599999999998</v>
      </c>
      <c r="L289" s="41">
        <f t="shared" si="13"/>
        <v>334936.31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5707.51</f>
        <v>5707.51</v>
      </c>
      <c r="G294" s="18">
        <f>436.64</f>
        <v>436.64</v>
      </c>
      <c r="H294" s="18"/>
      <c r="I294" s="18">
        <f>-13.58+500</f>
        <v>486.42</v>
      </c>
      <c r="J294" s="18"/>
      <c r="K294" s="18"/>
      <c r="L294" s="19">
        <f>SUM(F294:K294)</f>
        <v>6630.5700000000006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5707.51</v>
      </c>
      <c r="G308" s="42">
        <f t="shared" si="15"/>
        <v>436.64</v>
      </c>
      <c r="H308" s="42">
        <f t="shared" si="15"/>
        <v>0</v>
      </c>
      <c r="I308" s="42">
        <f t="shared" si="15"/>
        <v>486.42</v>
      </c>
      <c r="J308" s="42">
        <f t="shared" si="15"/>
        <v>0</v>
      </c>
      <c r="K308" s="42">
        <f t="shared" si="15"/>
        <v>0</v>
      </c>
      <c r="L308" s="41">
        <f t="shared" si="15"/>
        <v>6630.5700000000006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254777.92</v>
      </c>
      <c r="G337" s="41">
        <f t="shared" si="20"/>
        <v>59416.439999999995</v>
      </c>
      <c r="H337" s="41">
        <f t="shared" si="20"/>
        <v>23319.25</v>
      </c>
      <c r="I337" s="41">
        <f t="shared" si="20"/>
        <v>1321.51</v>
      </c>
      <c r="J337" s="41">
        <f t="shared" si="20"/>
        <v>0</v>
      </c>
      <c r="K337" s="41">
        <f t="shared" si="20"/>
        <v>2731.7599999999998</v>
      </c>
      <c r="L337" s="41">
        <f t="shared" si="20"/>
        <v>341566.88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254777.92</v>
      </c>
      <c r="G351" s="41">
        <f>G337</f>
        <v>59416.439999999995</v>
      </c>
      <c r="H351" s="41">
        <f>H337</f>
        <v>23319.25</v>
      </c>
      <c r="I351" s="41">
        <f>I337</f>
        <v>1321.51</v>
      </c>
      <c r="J351" s="41">
        <f>J337</f>
        <v>0</v>
      </c>
      <c r="K351" s="47">
        <f>K337+K350</f>
        <v>2731.7599999999998</v>
      </c>
      <c r="L351" s="41">
        <f>L337+L350</f>
        <v>341566.88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289539.44*0.5</f>
        <v>144769.72</v>
      </c>
      <c r="I357" s="18"/>
      <c r="J357" s="18"/>
      <c r="K357" s="18"/>
      <c r="L357" s="13">
        <f>SUM(F357:K357)</f>
        <v>144769.72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289539.44-H357-H359</f>
        <v>49221.704799999992</v>
      </c>
      <c r="I358" s="18"/>
      <c r="J358" s="18"/>
      <c r="K358" s="18"/>
      <c r="L358" s="19">
        <f>SUM(F358:K358)</f>
        <v>49221.704799999992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289539.44*0.33</f>
        <v>95548.015200000009</v>
      </c>
      <c r="I359" s="18"/>
      <c r="J359" s="18"/>
      <c r="K359" s="18"/>
      <c r="L359" s="19">
        <f>SUM(F359:K359)</f>
        <v>95548.015200000009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289539.44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289539.44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856</v>
      </c>
      <c r="I394" s="18">
        <v>1304352</v>
      </c>
      <c r="J394" s="24" t="s">
        <v>289</v>
      </c>
      <c r="K394" s="24" t="s">
        <v>289</v>
      </c>
      <c r="L394" s="56">
        <f t="shared" ref="L394:L399" si="26">SUM(F394:K394)</f>
        <v>1305208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f>50000</f>
        <v>50000</v>
      </c>
      <c r="H395" s="18">
        <v>5393</v>
      </c>
      <c r="I395" s="18"/>
      <c r="J395" s="24" t="s">
        <v>289</v>
      </c>
      <c r="K395" s="24" t="s">
        <v>289</v>
      </c>
      <c r="L395" s="56">
        <f t="shared" si="26"/>
        <v>55393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2036</v>
      </c>
      <c r="I396" s="18"/>
      <c r="J396" s="24" t="s">
        <v>289</v>
      </c>
      <c r="K396" s="24" t="s">
        <v>289</v>
      </c>
      <c r="L396" s="56">
        <f t="shared" si="26"/>
        <v>2036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1692+765</f>
        <v>2457</v>
      </c>
      <c r="I399" s="18"/>
      <c r="J399" s="24" t="s">
        <v>289</v>
      </c>
      <c r="K399" s="24" t="s">
        <v>289</v>
      </c>
      <c r="L399" s="56">
        <f t="shared" si="26"/>
        <v>2457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10742</v>
      </c>
      <c r="I400" s="47">
        <f>SUM(I394:I399)</f>
        <v>1304352</v>
      </c>
      <c r="J400" s="45" t="s">
        <v>289</v>
      </c>
      <c r="K400" s="45" t="s">
        <v>289</v>
      </c>
      <c r="L400" s="47">
        <f>SUM(L394:L399)</f>
        <v>1365094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10742</v>
      </c>
      <c r="I407" s="47">
        <f>I392+I400+I406</f>
        <v>1304352</v>
      </c>
      <c r="J407" s="24" t="s">
        <v>289</v>
      </c>
      <c r="K407" s="24" t="s">
        <v>289</v>
      </c>
      <c r="L407" s="47">
        <f>L392+L400+L406</f>
        <v>1365094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>
        <v>1504352</v>
      </c>
      <c r="H420" s="18"/>
      <c r="I420" s="18"/>
      <c r="J420" s="18"/>
      <c r="K420" s="18"/>
      <c r="L420" s="56">
        <f t="shared" ref="L420:L425" si="29">SUM(F420:K420)</f>
        <v>1504352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50000</v>
      </c>
      <c r="I421" s="18"/>
      <c r="J421" s="18"/>
      <c r="K421" s="18"/>
      <c r="L421" s="56">
        <f t="shared" si="29"/>
        <v>50000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125000</v>
      </c>
      <c r="I422" s="18"/>
      <c r="J422" s="18"/>
      <c r="K422" s="18"/>
      <c r="L422" s="56">
        <f t="shared" si="29"/>
        <v>125000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1504352</v>
      </c>
      <c r="H426" s="47">
        <f t="shared" si="30"/>
        <v>175000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1679352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1504352</v>
      </c>
      <c r="H433" s="47">
        <f t="shared" si="32"/>
        <v>175000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1679352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180693-75000+532903+414557+45474+15950</f>
        <v>1114577</v>
      </c>
      <c r="H439" s="18"/>
      <c r="I439" s="56">
        <f t="shared" si="33"/>
        <v>1114577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0</v>
      </c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1114577</v>
      </c>
      <c r="H445" s="13">
        <f>SUM(H438:H444)</f>
        <v>0</v>
      </c>
      <c r="I445" s="13">
        <f>SUM(I438:I444)</f>
        <v>1114577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1114577</v>
      </c>
      <c r="H458" s="18"/>
      <c r="I458" s="56">
        <f t="shared" si="34"/>
        <v>1114577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1114577</v>
      </c>
      <c r="H459" s="83">
        <f>SUM(H453:H458)</f>
        <v>0</v>
      </c>
      <c r="I459" s="83">
        <f>SUM(I453:I458)</f>
        <v>1114577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1114577</v>
      </c>
      <c r="H460" s="42">
        <f>H451+H459</f>
        <v>0</v>
      </c>
      <c r="I460" s="42">
        <f>I451+I459</f>
        <v>1114577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964408.37+21.24</f>
        <v>964429.61</v>
      </c>
      <c r="G464" s="18">
        <v>3217.65</v>
      </c>
      <c r="H464" s="18">
        <v>0</v>
      </c>
      <c r="I464" s="18">
        <v>0</v>
      </c>
      <c r="J464" s="18">
        <f>1428419.7-1584.7+2000</f>
        <v>1428835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12834038.970000001</v>
      </c>
      <c r="G467" s="18">
        <v>289562.33</v>
      </c>
      <c r="H467" s="18">
        <v>341566.88</v>
      </c>
      <c r="I467" s="18"/>
      <c r="J467" s="18">
        <f>2036+50000+5393+1304352+856+1692+765</f>
        <v>1365094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12834038.970000001</v>
      </c>
      <c r="G469" s="53">
        <f>SUM(G467:G468)</f>
        <v>289562.33</v>
      </c>
      <c r="H469" s="53">
        <f>SUM(H467:H468)</f>
        <v>341566.88</v>
      </c>
      <c r="I469" s="53">
        <f>SUM(I467:I468)</f>
        <v>0</v>
      </c>
      <c r="J469" s="53">
        <f>SUM(J467:J468)</f>
        <v>1365094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13222271.029999999</v>
      </c>
      <c r="G471" s="18">
        <v>289539.44</v>
      </c>
      <c r="H471" s="18">
        <v>341566.88</v>
      </c>
      <c r="I471" s="18"/>
      <c r="J471" s="18">
        <f>125000+50000+1504352</f>
        <v>1679352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13222271.029999999</v>
      </c>
      <c r="G473" s="53">
        <f>SUM(G471:G472)</f>
        <v>289539.44</v>
      </c>
      <c r="H473" s="53">
        <f>SUM(H471:H472)</f>
        <v>341566.88</v>
      </c>
      <c r="I473" s="53">
        <f>SUM(I471:I472)</f>
        <v>0</v>
      </c>
      <c r="J473" s="53">
        <f>SUM(J471:J472)</f>
        <v>1679352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576197.55000000075</v>
      </c>
      <c r="G475" s="53">
        <f>(G464+G469)- G473</f>
        <v>3240.5400000000373</v>
      </c>
      <c r="H475" s="53">
        <f>(H464+H469)- H473</f>
        <v>0</v>
      </c>
      <c r="I475" s="53">
        <f>(I464+I469)- I473</f>
        <v>0</v>
      </c>
      <c r="J475" s="53">
        <f>(J464+J469)- J473</f>
        <v>1114577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11362231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3.98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5272908.21</v>
      </c>
      <c r="G494" s="18"/>
      <c r="H494" s="18"/>
      <c r="I494" s="18"/>
      <c r="J494" s="18"/>
      <c r="K494" s="53">
        <f>SUM(F494:J494)</f>
        <v>5272908.21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748190</v>
      </c>
      <c r="G496" s="18"/>
      <c r="H496" s="18"/>
      <c r="I496" s="18"/>
      <c r="J496" s="18"/>
      <c r="K496" s="53">
        <f t="shared" si="35"/>
        <v>748190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F494-K259</f>
        <v>4524718.21</v>
      </c>
      <c r="G497" s="205"/>
      <c r="H497" s="205"/>
      <c r="I497" s="205"/>
      <c r="J497" s="205"/>
      <c r="K497" s="206">
        <f t="shared" si="35"/>
        <v>4524718.21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583308.43-K260</f>
        <v>355460.43000000005</v>
      </c>
      <c r="G498" s="18"/>
      <c r="H498" s="18"/>
      <c r="I498" s="18"/>
      <c r="J498" s="18"/>
      <c r="K498" s="53">
        <f t="shared" si="35"/>
        <v>355460.43000000005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4880178.6399999997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4880178.6399999997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777689</v>
      </c>
      <c r="G500" s="205"/>
      <c r="H500" s="205"/>
      <c r="I500" s="205"/>
      <c r="J500" s="205"/>
      <c r="K500" s="206">
        <f t="shared" si="35"/>
        <v>777689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198348</v>
      </c>
      <c r="G501" s="18"/>
      <c r="H501" s="18"/>
      <c r="I501" s="18"/>
      <c r="J501" s="18"/>
      <c r="K501" s="53">
        <f t="shared" si="35"/>
        <v>198348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976037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976037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719005.71-35375.08+F276-42147</f>
        <v>761380.15</v>
      </c>
      <c r="G520" s="18">
        <f>245226.77-1000-2706.08-3997.5+G276-3224.24-3708.93-7603-499.44-201</f>
        <v>256663.74</v>
      </c>
      <c r="H520" s="18"/>
      <c r="I520" s="18">
        <v>11334.79</v>
      </c>
      <c r="J520" s="18">
        <v>189.52</v>
      </c>
      <c r="K520" s="18"/>
      <c r="L520" s="88">
        <f>SUM(F520:K520)</f>
        <v>1029568.2000000001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246332.38-18223.92</f>
        <v>228108.46000000002</v>
      </c>
      <c r="G521" s="18">
        <f>85928.61-1394.12-2059.2</f>
        <v>82475.290000000008</v>
      </c>
      <c r="H521" s="271">
        <v>63886.93</v>
      </c>
      <c r="I521" s="18">
        <v>2218.06</v>
      </c>
      <c r="J521" s="18">
        <v>678</v>
      </c>
      <c r="K521" s="18"/>
      <c r="L521" s="88">
        <f>SUM(F521:K521)</f>
        <v>377366.74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372880.06-97212</f>
        <v>275668.06</v>
      </c>
      <c r="G522" s="18">
        <f>133254.83-7437-10984.95-19341-941.28-300</f>
        <v>94250.599999999991</v>
      </c>
      <c r="H522" s="271">
        <v>37878.54</v>
      </c>
      <c r="I522" s="18">
        <v>1287.02</v>
      </c>
      <c r="J522" s="18"/>
      <c r="K522" s="18"/>
      <c r="L522" s="88">
        <f>SUM(F522:K522)</f>
        <v>409084.22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1265156.6700000002</v>
      </c>
      <c r="G523" s="108">
        <f t="shared" ref="G523:L523" si="36">SUM(G520:G522)</f>
        <v>433389.63</v>
      </c>
      <c r="H523" s="108">
        <f t="shared" si="36"/>
        <v>101765.47</v>
      </c>
      <c r="I523" s="108">
        <f t="shared" si="36"/>
        <v>14839.87</v>
      </c>
      <c r="J523" s="108">
        <f t="shared" si="36"/>
        <v>867.52</v>
      </c>
      <c r="K523" s="108">
        <f t="shared" si="36"/>
        <v>0</v>
      </c>
      <c r="L523" s="89">
        <f t="shared" si="36"/>
        <v>1816019.16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272">
        <v>152010.5</v>
      </c>
      <c r="I525" s="272"/>
      <c r="J525" s="272"/>
      <c r="K525" s="272">
        <v>4257.0199999999995</v>
      </c>
      <c r="L525" s="88">
        <f>SUM(F525:K525)</f>
        <v>156267.51999999999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272">
        <v>1104.9999999999927</v>
      </c>
      <c r="I526" s="272"/>
      <c r="J526" s="272"/>
      <c r="K526" s="272"/>
      <c r="L526" s="88">
        <f>SUM(F526:K526)</f>
        <v>1104.9999999999927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272">
        <v>51485.999999999993</v>
      </c>
      <c r="I527" s="272"/>
      <c r="J527" s="272"/>
      <c r="K527" s="272"/>
      <c r="L527" s="88">
        <f>SUM(F527:K527)</f>
        <v>51485.999999999993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204601.5</v>
      </c>
      <c r="I528" s="89">
        <f t="shared" si="37"/>
        <v>0</v>
      </c>
      <c r="J528" s="89">
        <f t="shared" si="37"/>
        <v>0</v>
      </c>
      <c r="K528" s="89">
        <f t="shared" si="37"/>
        <v>4257.0199999999995</v>
      </c>
      <c r="L528" s="89">
        <f t="shared" si="37"/>
        <v>208858.52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139359*0.5</f>
        <v>69679.5</v>
      </c>
      <c r="G530" s="18">
        <f>54240.56*0.5</f>
        <v>27120.28</v>
      </c>
      <c r="H530" s="18"/>
      <c r="I530" s="18"/>
      <c r="J530" s="18"/>
      <c r="K530" s="18"/>
      <c r="L530" s="88">
        <f>SUM(F530:K530)</f>
        <v>96799.78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139359-F530-F532</f>
        <v>23691.03</v>
      </c>
      <c r="G531" s="18">
        <f>54240.56-G530-G532</f>
        <v>9220.895199999999</v>
      </c>
      <c r="H531" s="18"/>
      <c r="I531" s="18"/>
      <c r="J531" s="18"/>
      <c r="K531" s="18"/>
      <c r="L531" s="88">
        <f>SUM(F531:K531)</f>
        <v>32911.925199999998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139359*0.33</f>
        <v>45988.47</v>
      </c>
      <c r="G532" s="18">
        <f>54240.56*0.33</f>
        <v>17899.3848</v>
      </c>
      <c r="H532" s="18"/>
      <c r="I532" s="18"/>
      <c r="J532" s="18"/>
      <c r="K532" s="18"/>
      <c r="L532" s="88">
        <f>SUM(F532:K532)</f>
        <v>63887.854800000001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139359</v>
      </c>
      <c r="G533" s="89">
        <f t="shared" ref="G533:L533" si="38">SUM(G530:G532)</f>
        <v>54240.56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193599.56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10835.55</v>
      </c>
      <c r="I540" s="18"/>
      <c r="J540" s="18"/>
      <c r="K540" s="18"/>
      <c r="L540" s="88">
        <f>SUM(F540:K540)</f>
        <v>10835.55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28000</v>
      </c>
      <c r="I541" s="18"/>
      <c r="J541" s="18"/>
      <c r="K541" s="18"/>
      <c r="L541" s="88">
        <f>SUM(F541:K541)</f>
        <v>28000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38835.550000000003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38835.550000000003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1404515.6700000002</v>
      </c>
      <c r="G544" s="89">
        <f t="shared" ref="G544:L544" si="41">G523+G528+G533+G538+G543</f>
        <v>487630.19</v>
      </c>
      <c r="H544" s="89">
        <f t="shared" si="41"/>
        <v>345202.51999999996</v>
      </c>
      <c r="I544" s="89">
        <f t="shared" si="41"/>
        <v>14839.87</v>
      </c>
      <c r="J544" s="89">
        <f t="shared" si="41"/>
        <v>867.52</v>
      </c>
      <c r="K544" s="89">
        <f t="shared" si="41"/>
        <v>4257.0199999999995</v>
      </c>
      <c r="L544" s="89">
        <f t="shared" si="41"/>
        <v>2257312.7899999996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1029568.2000000001</v>
      </c>
      <c r="G548" s="87">
        <f>L525</f>
        <v>156267.51999999999</v>
      </c>
      <c r="H548" s="87">
        <f>L530</f>
        <v>96799.78</v>
      </c>
      <c r="I548" s="87">
        <f>L535</f>
        <v>0</v>
      </c>
      <c r="J548" s="87">
        <f>L540</f>
        <v>10835.55</v>
      </c>
      <c r="K548" s="87">
        <f>SUM(F548:J548)</f>
        <v>1293471.05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377366.74</v>
      </c>
      <c r="G549" s="87">
        <f>L526</f>
        <v>1104.9999999999927</v>
      </c>
      <c r="H549" s="87">
        <f>L531</f>
        <v>32911.925199999998</v>
      </c>
      <c r="I549" s="87">
        <f>L536</f>
        <v>0</v>
      </c>
      <c r="J549" s="87">
        <f>L541</f>
        <v>28000</v>
      </c>
      <c r="K549" s="87">
        <f>SUM(F549:J549)</f>
        <v>439383.66519999999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409084.22</v>
      </c>
      <c r="G550" s="87">
        <f>L527</f>
        <v>51485.999999999993</v>
      </c>
      <c r="H550" s="87">
        <f>L532</f>
        <v>63887.854800000001</v>
      </c>
      <c r="I550" s="87">
        <f>L537</f>
        <v>0</v>
      </c>
      <c r="J550" s="87">
        <f>L542</f>
        <v>0</v>
      </c>
      <c r="K550" s="87">
        <f>SUM(F550:J550)</f>
        <v>524458.07479999994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1816019.16</v>
      </c>
      <c r="G551" s="89">
        <f t="shared" si="42"/>
        <v>208858.52</v>
      </c>
      <c r="H551" s="89">
        <f t="shared" si="42"/>
        <v>193599.56</v>
      </c>
      <c r="I551" s="89">
        <f t="shared" si="42"/>
        <v>0</v>
      </c>
      <c r="J551" s="89">
        <f t="shared" si="42"/>
        <v>38835.550000000003</v>
      </c>
      <c r="K551" s="89">
        <f t="shared" si="42"/>
        <v>2257312.79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35375.08</v>
      </c>
      <c r="G561" s="18">
        <f>1000+2706.08+3997.5</f>
        <v>7703.58</v>
      </c>
      <c r="H561" s="18"/>
      <c r="I561" s="18"/>
      <c r="J561" s="18"/>
      <c r="K561" s="18"/>
      <c r="L561" s="88">
        <f>SUM(F561:K561)</f>
        <v>43078.66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18223.919999999998</v>
      </c>
      <c r="G562" s="18">
        <f>1394.12+2059.2</f>
        <v>3453.3199999999997</v>
      </c>
      <c r="H562" s="18"/>
      <c r="I562" s="18"/>
      <c r="J562" s="18"/>
      <c r="K562" s="18"/>
      <c r="L562" s="88">
        <f>SUM(F562:K562)</f>
        <v>21677.239999999998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53599</v>
      </c>
      <c r="G564" s="89">
        <f t="shared" si="44"/>
        <v>11156.9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64755.9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53599</v>
      </c>
      <c r="G570" s="89">
        <f t="shared" ref="G570:L570" si="46">G559+G564+G569</f>
        <v>11156.9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64755.9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63886.93</v>
      </c>
      <c r="H581" s="18">
        <v>37878.54</v>
      </c>
      <c r="I581" s="87">
        <f t="shared" si="47"/>
        <v>101765.47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16948.07</v>
      </c>
      <c r="I583" s="87">
        <f t="shared" si="47"/>
        <v>16948.07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138187.1</v>
      </c>
      <c r="I590" s="18">
        <v>50626.6</v>
      </c>
      <c r="J590" s="18">
        <v>101253.3</v>
      </c>
      <c r="K590" s="104">
        <f t="shared" ref="K590:K596" si="48">SUM(H590:J590)</f>
        <v>290067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10835.55</v>
      </c>
      <c r="I591" s="18">
        <v>28000</v>
      </c>
      <c r="J591" s="18"/>
      <c r="K591" s="104">
        <f t="shared" si="48"/>
        <v>38835.550000000003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53759.45</v>
      </c>
      <c r="K592" s="104">
        <f t="shared" si="48"/>
        <v>53759.45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16227.55</v>
      </c>
      <c r="J593" s="18">
        <v>27765.14</v>
      </c>
      <c r="K593" s="104">
        <f t="shared" si="48"/>
        <v>43992.69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13064.83+63.44</f>
        <v>13128.27</v>
      </c>
      <c r="I594" s="18">
        <f>373.23+2672.25</f>
        <v>3045.48</v>
      </c>
      <c r="J594" s="18">
        <f>6756.03+461.19</f>
        <v>7217.2199999999993</v>
      </c>
      <c r="K594" s="104">
        <f t="shared" si="48"/>
        <v>23390.97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260</v>
      </c>
      <c r="I596" s="18">
        <v>103.33</v>
      </c>
      <c r="J596" s="18">
        <v>237.63</v>
      </c>
      <c r="K596" s="104">
        <f t="shared" si="48"/>
        <v>600.96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162410.91999999998</v>
      </c>
      <c r="I597" s="108">
        <f>SUM(I590:I596)</f>
        <v>98002.96</v>
      </c>
      <c r="J597" s="108">
        <f>SUM(J590:J596)</f>
        <v>190232.74000000002</v>
      </c>
      <c r="K597" s="108">
        <f>SUM(K590:K596)</f>
        <v>450646.62000000005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</f>
        <v>46455.789999999994</v>
      </c>
      <c r="I603" s="18">
        <f>J228</f>
        <v>41662.97</v>
      </c>
      <c r="J603" s="18">
        <f>J246</f>
        <v>94040.540000000008</v>
      </c>
      <c r="K603" s="104">
        <f>SUM(H603:J603)</f>
        <v>182159.3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46455.789999999994</v>
      </c>
      <c r="I604" s="108">
        <f>SUM(I601:I603)</f>
        <v>41662.97</v>
      </c>
      <c r="J604" s="108">
        <f>SUM(J601:J603)</f>
        <v>94040.540000000008</v>
      </c>
      <c r="K604" s="108">
        <f>SUM(K601:K603)</f>
        <v>182159.3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1840.26+10643.28+6218.4</f>
        <v>18701.940000000002</v>
      </c>
      <c r="G610" s="18">
        <f>F610*0.1895</f>
        <v>3544.0176300000003</v>
      </c>
      <c r="H610" s="18"/>
      <c r="I610" s="18"/>
      <c r="J610" s="18"/>
      <c r="K610" s="18"/>
      <c r="L610" s="88">
        <f>SUM(F610:K610)</f>
        <v>22245.957630000004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2861.83+1674.65</f>
        <v>4536.4799999999996</v>
      </c>
      <c r="G611" s="18">
        <f>F611*0.1895</f>
        <v>859.66295999999988</v>
      </c>
      <c r="H611" s="18"/>
      <c r="I611" s="18"/>
      <c r="J611" s="18"/>
      <c r="K611" s="18"/>
      <c r="L611" s="88">
        <f>SUM(F611:K611)</f>
        <v>5396.1429599999992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13244.19</f>
        <v>13244.19</v>
      </c>
      <c r="G612" s="18">
        <f>F612*0.1895</f>
        <v>2509.7740050000002</v>
      </c>
      <c r="H612" s="18"/>
      <c r="I612" s="18"/>
      <c r="J612" s="18"/>
      <c r="K612" s="18"/>
      <c r="L612" s="88">
        <f>SUM(F612:K612)</f>
        <v>15753.964005000002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36482.61</v>
      </c>
      <c r="G613" s="108">
        <f t="shared" si="49"/>
        <v>6913.4545950000002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43396.064595000003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818142.82</v>
      </c>
      <c r="H616" s="109">
        <f>SUM(F51)</f>
        <v>818142.82000000007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16099.08</v>
      </c>
      <c r="H617" s="109">
        <f>SUM(G51)</f>
        <v>16099.080000000002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148179.38</v>
      </c>
      <c r="H618" s="109">
        <f>SUM(H51)</f>
        <v>148179.38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1114577</v>
      </c>
      <c r="H620" s="109">
        <f>SUM(J51)</f>
        <v>1114577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576197.55000000005</v>
      </c>
      <c r="H621" s="109">
        <f>F475</f>
        <v>576197.55000000075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3240.54</v>
      </c>
      <c r="H622" s="109">
        <f>G475</f>
        <v>3240.5400000000373</v>
      </c>
      <c r="I622" s="121" t="s">
        <v>102</v>
      </c>
      <c r="J622" s="109">
        <f t="shared" si="50"/>
        <v>-3.7289282772690058E-11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1114577</v>
      </c>
      <c r="H625" s="109">
        <f>J475</f>
        <v>1114577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12834038.970000001</v>
      </c>
      <c r="H626" s="104">
        <f>SUM(F467)</f>
        <v>12834038.970000001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289562.32999999996</v>
      </c>
      <c r="H627" s="104">
        <f>SUM(G467)</f>
        <v>289562.33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341566.88</v>
      </c>
      <c r="H628" s="104">
        <f>SUM(H467)</f>
        <v>341566.88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1365094</v>
      </c>
      <c r="H630" s="104">
        <f>SUM(J467)</f>
        <v>1365094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13222271.030000001</v>
      </c>
      <c r="H631" s="104">
        <f>SUM(F471)</f>
        <v>13222271.029999999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341566.88</v>
      </c>
      <c r="H632" s="104">
        <f>SUM(H471)</f>
        <v>341566.88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289539.44</v>
      </c>
      <c r="H634" s="104">
        <f>SUM(G471)</f>
        <v>289539.44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1365094</v>
      </c>
      <c r="H636" s="164">
        <f>SUM(J467)</f>
        <v>1365094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1679352</v>
      </c>
      <c r="H637" s="164">
        <f>SUM(J471)</f>
        <v>1679352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1114577</v>
      </c>
      <c r="H639" s="104">
        <f>SUM(G460)</f>
        <v>1114577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1114577</v>
      </c>
      <c r="H641" s="104">
        <f>SUM(I460)</f>
        <v>1114577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10742</v>
      </c>
      <c r="H643" s="104">
        <f>H407</f>
        <v>10742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1365094</v>
      </c>
      <c r="H645" s="104">
        <f>L407</f>
        <v>1365094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450646.62000000005</v>
      </c>
      <c r="H646" s="104">
        <f>L207+L225+L243</f>
        <v>450646.62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182159.3</v>
      </c>
      <c r="H647" s="104">
        <f>(J256+J337)-(J254+J335)</f>
        <v>182159.3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162410.91999999998</v>
      </c>
      <c r="H648" s="104">
        <f>H597</f>
        <v>162410.91999999998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98002.96</v>
      </c>
      <c r="H649" s="104">
        <f>I597</f>
        <v>98002.96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190232.74</v>
      </c>
      <c r="H650" s="104">
        <f>J597</f>
        <v>190232.74000000002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5922208.5199999996</v>
      </c>
      <c r="G659" s="19">
        <f>(L228+L308+L358)</f>
        <v>2230572.0447999998</v>
      </c>
      <c r="H659" s="19">
        <f>(L246+L327+L359)</f>
        <v>4674558.7852000007</v>
      </c>
      <c r="I659" s="19">
        <f>SUM(F659:H659)</f>
        <v>12827339.350000001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94588.184999999998</v>
      </c>
      <c r="G660" s="19">
        <f>(L358/IF(SUM(L357:L359)=0,1,SUM(L357:L359))*(SUM(G96:G109)))</f>
        <v>32159.982899999995</v>
      </c>
      <c r="H660" s="19">
        <f>(L359/IF(SUM(L357:L359)=0,1,SUM(L357:L359))*(SUM(G96:G109)))</f>
        <v>62428.202100000002</v>
      </c>
      <c r="I660" s="19">
        <f>SUM(F660:H660)</f>
        <v>189176.37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162410.91999999998</v>
      </c>
      <c r="G661" s="19">
        <f>(L225+L305)-(J225+J305)</f>
        <v>98002.96</v>
      </c>
      <c r="H661" s="19">
        <f>(L243+L324)-(J243+J324)</f>
        <v>190232.74</v>
      </c>
      <c r="I661" s="19">
        <f>SUM(F661:H661)</f>
        <v>450646.62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68701.747629999998</v>
      </c>
      <c r="G662" s="200">
        <f>SUM(G574:G586)+SUM(I601:I603)+L611</f>
        <v>110946.04295999999</v>
      </c>
      <c r="H662" s="200">
        <f>SUM(H574:H586)+SUM(J601:J603)+L612</f>
        <v>164621.11400500004</v>
      </c>
      <c r="I662" s="19">
        <f>SUM(F662:H662)</f>
        <v>344268.90459500003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5596507.6673699999</v>
      </c>
      <c r="G663" s="19">
        <f>G659-SUM(G660:G662)</f>
        <v>1989463.0589399999</v>
      </c>
      <c r="H663" s="19">
        <f>H659-SUM(H660:H662)</f>
        <v>4257276.7290950008</v>
      </c>
      <c r="I663" s="19">
        <f>I659-SUM(I660:I662)</f>
        <v>11843247.455405001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265.67</v>
      </c>
      <c r="G664" s="249">
        <v>101.59</v>
      </c>
      <c r="H664" s="249">
        <v>225.28</v>
      </c>
      <c r="I664" s="19">
        <f>SUM(F664:H664)</f>
        <v>592.54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21065.64</v>
      </c>
      <c r="G666" s="19">
        <f>ROUND(G663/G664,2)</f>
        <v>19583.259999999998</v>
      </c>
      <c r="H666" s="19">
        <f>ROUND(H663/H664,2)</f>
        <v>18897.71</v>
      </c>
      <c r="I666" s="19">
        <f>ROUND(I663/I664,2)</f>
        <v>19987.25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-5.27</v>
      </c>
      <c r="I669" s="19">
        <f>SUM(F669:H669)</f>
        <v>-5.27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21065.64</v>
      </c>
      <c r="G671" s="19">
        <f>ROUND((G663+G668)/(G664+G669),2)</f>
        <v>19583.259999999998</v>
      </c>
      <c r="H671" s="19">
        <f>ROUND((H663+H668)/(H664+H669),2)</f>
        <v>19350.38</v>
      </c>
      <c r="I671" s="19">
        <f>ROUND((I663+I668)/(I664+I669),2)</f>
        <v>20166.61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6" workbookViewId="0">
      <selection activeCell="C12" sqref="C12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Moultonborough School District</v>
      </c>
      <c r="C1" s="239" t="s">
        <v>839</v>
      </c>
    </row>
    <row r="2" spans="1:3">
      <c r="A2" s="234"/>
      <c r="B2" s="233"/>
    </row>
    <row r="3" spans="1:3">
      <c r="A3" s="276" t="s">
        <v>784</v>
      </c>
      <c r="B3" s="276"/>
      <c r="C3" s="276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5" t="s">
        <v>783</v>
      </c>
      <c r="C6" s="275"/>
    </row>
    <row r="7" spans="1:3">
      <c r="A7" s="240" t="s">
        <v>786</v>
      </c>
      <c r="B7" s="273" t="s">
        <v>782</v>
      </c>
      <c r="C7" s="274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3846956.5400000005</v>
      </c>
      <c r="C9" s="230">
        <f>'DOE25'!G196+'DOE25'!G214+'DOE25'!G232+'DOE25'!G275+'DOE25'!G294+'DOE25'!G313</f>
        <v>1539054.17</v>
      </c>
    </row>
    <row r="10" spans="1:3">
      <c r="A10" t="s">
        <v>779</v>
      </c>
      <c r="B10" s="241">
        <f>1538116.81+516773.97+1326998.24+64686.56+52719.89+4000+7767.44</f>
        <v>3511062.91</v>
      </c>
      <c r="C10" s="241">
        <f>734604+268596.31+396750+5019.3+1753.6</f>
        <v>1406723.2100000002</v>
      </c>
    </row>
    <row r="11" spans="1:3">
      <c r="A11" t="s">
        <v>780</v>
      </c>
      <c r="B11" s="241">
        <f>195618.43+15673.46+5707.51</f>
        <v>216999.4</v>
      </c>
      <c r="C11" s="241">
        <v>123235.55</v>
      </c>
    </row>
    <row r="12" spans="1:3">
      <c r="A12" t="s">
        <v>781</v>
      </c>
      <c r="B12" s="241">
        <f>39047.38+27143.48+52703.37</f>
        <v>118894.23000000001</v>
      </c>
      <c r="C12" s="241">
        <f>ROUND(B12*7.65%,2)</f>
        <v>9095.41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3846956.54</v>
      </c>
      <c r="C13" s="232">
        <f>SUM(C10:C12)</f>
        <v>1539054.1700000002</v>
      </c>
    </row>
    <row r="14" spans="1:3">
      <c r="B14" s="231"/>
      <c r="C14" s="231"/>
    </row>
    <row r="15" spans="1:3">
      <c r="B15" s="275" t="s">
        <v>783</v>
      </c>
      <c r="C15" s="275"/>
    </row>
    <row r="16" spans="1:3">
      <c r="A16" s="240" t="s">
        <v>787</v>
      </c>
      <c r="B16" s="273" t="s">
        <v>707</v>
      </c>
      <c r="C16" s="274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1458114.67</v>
      </c>
      <c r="C18" s="230">
        <f>'DOE25'!G197+'DOE25'!G215+'DOE25'!G233+'DOE25'!G276+'DOE25'!G295+'DOE25'!G314</f>
        <v>498787.36999999994</v>
      </c>
    </row>
    <row r="19" spans="1:3">
      <c r="A19" t="s">
        <v>779</v>
      </c>
      <c r="B19" s="241">
        <f>424746.75+136547.98+276061.49</f>
        <v>837356.22</v>
      </c>
      <c r="C19" s="241">
        <f>165158+11302+64057.75+94621.25+1721.06+577.1</f>
        <v>337437.16</v>
      </c>
    </row>
    <row r="20" spans="1:3">
      <c r="A20" t="s">
        <v>780</v>
      </c>
      <c r="B20" s="241">
        <f>216786.84+91560.48+95756.07+173495.52</f>
        <v>577598.91</v>
      </c>
      <c r="C20" s="241">
        <v>146147.76</v>
      </c>
    </row>
    <row r="21" spans="1:3">
      <c r="A21" t="s">
        <v>781</v>
      </c>
      <c r="B21" s="241">
        <f>42097.04+1062.5</f>
        <v>43159.54</v>
      </c>
      <c r="C21" s="241">
        <f>ROUND((B21*0.1645)+7603.27+499.44,2)</f>
        <v>15202.45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1458114.67</v>
      </c>
      <c r="C22" s="232">
        <f>SUM(C19:C21)</f>
        <v>498787.37</v>
      </c>
    </row>
    <row r="23" spans="1:3">
      <c r="B23" s="231"/>
      <c r="C23" s="231"/>
    </row>
    <row r="24" spans="1:3">
      <c r="B24" s="275" t="s">
        <v>783</v>
      </c>
      <c r="C24" s="275"/>
    </row>
    <row r="25" spans="1:3">
      <c r="A25" s="240" t="s">
        <v>788</v>
      </c>
      <c r="B25" s="273" t="s">
        <v>708</v>
      </c>
      <c r="C25" s="274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20435.239999999998</v>
      </c>
      <c r="C27" s="235">
        <f>'DOE25'!G198+'DOE25'!G216+'DOE25'!G234+'DOE25'!G277+'DOE25'!G296+'DOE25'!G315</f>
        <v>1563.33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>
        <f>8935.4+5749.92+1954.92+3795</f>
        <v>20435.239999999998</v>
      </c>
      <c r="C30" s="241">
        <v>1563.33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20435.239999999998</v>
      </c>
      <c r="C31" s="232">
        <f>SUM(C28:C30)</f>
        <v>1563.33</v>
      </c>
    </row>
    <row r="33" spans="1:3">
      <c r="B33" s="275" t="s">
        <v>783</v>
      </c>
      <c r="C33" s="275"/>
    </row>
    <row r="34" spans="1:3">
      <c r="A34" s="240" t="s">
        <v>789</v>
      </c>
      <c r="B34" s="273" t="s">
        <v>709</v>
      </c>
      <c r="C34" s="274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166433.76</v>
      </c>
      <c r="C36" s="236">
        <f>'DOE25'!G199+'DOE25'!G217+'DOE25'!G235+'DOE25'!G278+'DOE25'!G297+'DOE25'!G316</f>
        <v>25401.510000000002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f>15727.5+9677.95+31190+21788+66340.25+1662.5+1662.5+8146.31+10238.75</f>
        <v>166433.76</v>
      </c>
      <c r="C39" s="241">
        <v>25401.51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166433.76</v>
      </c>
      <c r="C40" s="232">
        <f>SUM(C37:C39)</f>
        <v>25401.51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>
      <c r="A2" s="33" t="s">
        <v>717</v>
      </c>
      <c r="B2" s="266" t="str">
        <f>'DOE25'!A2</f>
        <v>Moultonborough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7925638.9100000001</v>
      </c>
      <c r="D5" s="20">
        <f>SUM('DOE25'!L196:L199)+SUM('DOE25'!L214:L217)+SUM('DOE25'!L232:L235)-F5-G5</f>
        <v>7868191.21</v>
      </c>
      <c r="E5" s="244"/>
      <c r="F5" s="256">
        <f>SUM('DOE25'!J196:J199)+SUM('DOE25'!J214:J217)+SUM('DOE25'!J232:J235)</f>
        <v>45885.94</v>
      </c>
      <c r="G5" s="53">
        <f>SUM('DOE25'!K196:K199)+SUM('DOE25'!K214:K217)+SUM('DOE25'!K232:K235)</f>
        <v>11561.76</v>
      </c>
      <c r="H5" s="260"/>
    </row>
    <row r="6" spans="1:9">
      <c r="A6" s="32">
        <v>2100</v>
      </c>
      <c r="B6" t="s">
        <v>801</v>
      </c>
      <c r="C6" s="246">
        <f t="shared" si="0"/>
        <v>434722.19</v>
      </c>
      <c r="D6" s="20">
        <f>'DOE25'!L201+'DOE25'!L219+'DOE25'!L237-F6-G6</f>
        <v>433915.39</v>
      </c>
      <c r="E6" s="244"/>
      <c r="F6" s="256">
        <f>'DOE25'!J201+'DOE25'!J219+'DOE25'!J237</f>
        <v>662.80000000000007</v>
      </c>
      <c r="G6" s="53">
        <f>'DOE25'!K201+'DOE25'!K219+'DOE25'!K237</f>
        <v>144</v>
      </c>
      <c r="H6" s="260"/>
    </row>
    <row r="7" spans="1:9">
      <c r="A7" s="32">
        <v>2200</v>
      </c>
      <c r="B7" t="s">
        <v>834</v>
      </c>
      <c r="C7" s="246">
        <f t="shared" si="0"/>
        <v>901669.20000000007</v>
      </c>
      <c r="D7" s="20">
        <f>'DOE25'!L202+'DOE25'!L220+'DOE25'!L238-F7-G7</f>
        <v>762257.83000000007</v>
      </c>
      <c r="E7" s="244"/>
      <c r="F7" s="256">
        <f>'DOE25'!J202+'DOE25'!J220+'DOE25'!J238</f>
        <v>134464.37</v>
      </c>
      <c r="G7" s="53">
        <f>'DOE25'!K202+'DOE25'!K220+'DOE25'!K238</f>
        <v>4947</v>
      </c>
      <c r="H7" s="260"/>
    </row>
    <row r="8" spans="1:9">
      <c r="A8" s="32">
        <v>2300</v>
      </c>
      <c r="B8" t="s">
        <v>802</v>
      </c>
      <c r="C8" s="246">
        <f t="shared" si="0"/>
        <v>215960.51000000004</v>
      </c>
      <c r="D8" s="244"/>
      <c r="E8" s="20">
        <f>'DOE25'!L203+'DOE25'!L221+'DOE25'!L239-F8-G8-D9-D11</f>
        <v>194199.83000000005</v>
      </c>
      <c r="F8" s="256">
        <f>'DOE25'!J203+'DOE25'!J221+'DOE25'!J239</f>
        <v>0</v>
      </c>
      <c r="G8" s="53">
        <f>'DOE25'!K203+'DOE25'!K221+'DOE25'!K239</f>
        <v>21760.68</v>
      </c>
      <c r="H8" s="260"/>
    </row>
    <row r="9" spans="1:9">
      <c r="A9" s="32">
        <v>2310</v>
      </c>
      <c r="B9" t="s">
        <v>818</v>
      </c>
      <c r="C9" s="246">
        <f t="shared" si="0"/>
        <v>45040.85</v>
      </c>
      <c r="D9" s="245">
        <v>45040.85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9700</v>
      </c>
      <c r="D10" s="244"/>
      <c r="E10" s="245">
        <f>4850+1616.66+3233.34</f>
        <v>9700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232503.13999999998</v>
      </c>
      <c r="D11" s="245">
        <f>118958+600+47638+19341.05+14537.5+931.32+931.32+12790.49+14713.24+362.22+1400+300</f>
        <v>232503.13999999998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674486.04</v>
      </c>
      <c r="D12" s="20">
        <f>'DOE25'!L204+'DOE25'!L222+'DOE25'!L240-F12-G12</f>
        <v>664427.19000000006</v>
      </c>
      <c r="E12" s="244"/>
      <c r="F12" s="256">
        <f>'DOE25'!J204+'DOE25'!J222+'DOE25'!J240</f>
        <v>894.2</v>
      </c>
      <c r="G12" s="53">
        <f>'DOE25'!K204+'DOE25'!K222+'DOE25'!K240</f>
        <v>9164.65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1315565.5699999998</v>
      </c>
      <c r="D14" s="20">
        <f>'DOE25'!L206+'DOE25'!L224+'DOE25'!L242-F14-G14</f>
        <v>1315313.5799999998</v>
      </c>
      <c r="E14" s="244"/>
      <c r="F14" s="256">
        <f>'DOE25'!J206+'DOE25'!J224+'DOE25'!J242</f>
        <v>251.99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450646.62</v>
      </c>
      <c r="D15" s="20">
        <f>'DOE25'!L207+'DOE25'!L225+'DOE25'!L243-F15-G15</f>
        <v>450646.62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976038</v>
      </c>
      <c r="D25" s="244"/>
      <c r="E25" s="244"/>
      <c r="F25" s="259"/>
      <c r="G25" s="257"/>
      <c r="H25" s="258">
        <f>'DOE25'!L259+'DOE25'!L260+'DOE25'!L340+'DOE25'!L341</f>
        <v>976038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289539.44</v>
      </c>
      <c r="D29" s="20">
        <f>'DOE25'!L357+'DOE25'!L358+'DOE25'!L359-'DOE25'!I366-F29-G29</f>
        <v>289539.44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341566.88</v>
      </c>
      <c r="D31" s="20">
        <f>'DOE25'!L289+'DOE25'!L308+'DOE25'!L327+'DOE25'!L332+'DOE25'!L333+'DOE25'!L334-F31-G31</f>
        <v>338835.12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2731.7599999999998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12400670.369999997</v>
      </c>
      <c r="E33" s="247">
        <f>SUM(E5:E31)</f>
        <v>203899.83000000005</v>
      </c>
      <c r="F33" s="247">
        <f>SUM(F5:F31)</f>
        <v>182159.3</v>
      </c>
      <c r="G33" s="247">
        <f>SUM(G5:G31)</f>
        <v>50309.850000000006</v>
      </c>
      <c r="H33" s="247">
        <f>SUM(H5:H31)</f>
        <v>976038</v>
      </c>
    </row>
    <row r="35" spans="2:8" ht="12" thickBot="1">
      <c r="B35" s="254" t="s">
        <v>847</v>
      </c>
      <c r="D35" s="255">
        <f>E33</f>
        <v>203899.83000000005</v>
      </c>
      <c r="E35" s="250"/>
    </row>
    <row r="36" spans="2:8" ht="12" thickTop="1">
      <c r="B36" t="s">
        <v>815</v>
      </c>
      <c r="D36" s="20">
        <f>D33</f>
        <v>12400670.369999997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84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Moultonborough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781949.21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1114577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36193.61</v>
      </c>
      <c r="D12" s="95">
        <f>'DOE25'!G13</f>
        <v>5256.58</v>
      </c>
      <c r="E12" s="95">
        <f>'DOE25'!H13</f>
        <v>148179.38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10842.5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818142.82</v>
      </c>
      <c r="D18" s="41">
        <f>SUM(D8:D17)</f>
        <v>16099.08</v>
      </c>
      <c r="E18" s="41">
        <f>SUM(E8:E17)</f>
        <v>148179.38</v>
      </c>
      <c r="F18" s="41">
        <f>SUM(F8:F17)</f>
        <v>0</v>
      </c>
      <c r="G18" s="41">
        <f>SUM(G8:G17)</f>
        <v>1114577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232848.62</v>
      </c>
      <c r="D21" s="95">
        <f>'DOE25'!G22</f>
        <v>12858.54</v>
      </c>
      <c r="E21" s="95">
        <f>'DOE25'!H22</f>
        <v>135800.87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9096.65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12378.51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241945.27</v>
      </c>
      <c r="D31" s="41">
        <f>SUM(D21:D30)</f>
        <v>12858.54</v>
      </c>
      <c r="E31" s="41">
        <f>SUM(E21:E30)</f>
        <v>148179.38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3240.54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1114577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308329.62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142867.93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576197.55000000005</v>
      </c>
      <c r="D49" s="41">
        <f>SUM(D34:D48)</f>
        <v>3240.54</v>
      </c>
      <c r="E49" s="41">
        <f>SUM(E34:E48)</f>
        <v>0</v>
      </c>
      <c r="F49" s="41">
        <f>SUM(F34:F48)</f>
        <v>0</v>
      </c>
      <c r="G49" s="41">
        <f>SUM(G34:G48)</f>
        <v>1114577</v>
      </c>
      <c r="H49" s="124"/>
      <c r="I49" s="124"/>
    </row>
    <row r="50" spans="1:9" ht="12" thickTop="1">
      <c r="A50" s="38" t="s">
        <v>895</v>
      </c>
      <c r="B50" s="2"/>
      <c r="C50" s="41">
        <f>C49+C31</f>
        <v>818142.82000000007</v>
      </c>
      <c r="D50" s="41">
        <f>D49+D31</f>
        <v>16099.080000000002</v>
      </c>
      <c r="E50" s="41">
        <f>E49+E31</f>
        <v>148179.38</v>
      </c>
      <c r="F50" s="41">
        <f>F49+F31</f>
        <v>0</v>
      </c>
      <c r="G50" s="41">
        <f>G49+G31</f>
        <v>1114577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5401859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29891.559999999998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378.77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10742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189176.37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4238.3500000000004</v>
      </c>
      <c r="D60" s="95">
        <f>SUM('DOE25'!G97:G109)</f>
        <v>0</v>
      </c>
      <c r="E60" s="95">
        <f>SUM('DOE25'!H97:H109)</f>
        <v>6630.57</v>
      </c>
      <c r="F60" s="95">
        <f>SUM('DOE25'!I97:I109)</f>
        <v>0</v>
      </c>
      <c r="G60" s="95">
        <f>SUM('DOE25'!J97:J109)</f>
        <v>1304352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34508.68</v>
      </c>
      <c r="D61" s="130">
        <f>SUM(D56:D60)</f>
        <v>189176.37</v>
      </c>
      <c r="E61" s="130">
        <f>SUM(E56:E60)</f>
        <v>6630.57</v>
      </c>
      <c r="F61" s="130">
        <f>SUM(F56:F60)</f>
        <v>0</v>
      </c>
      <c r="G61" s="130">
        <f>SUM(G56:G60)</f>
        <v>1315094</v>
      </c>
      <c r="H61"/>
      <c r="I61"/>
    </row>
    <row r="62" spans="1:9" ht="12" thickTop="1">
      <c r="A62" s="29" t="s">
        <v>175</v>
      </c>
      <c r="B62" s="6"/>
      <c r="C62" s="22">
        <f>C55+C61</f>
        <v>5436367.6799999997</v>
      </c>
      <c r="D62" s="22">
        <f>D55+D61</f>
        <v>189176.37</v>
      </c>
      <c r="E62" s="22">
        <f>E55+E61</f>
        <v>6630.57</v>
      </c>
      <c r="F62" s="22">
        <f>F55+F61</f>
        <v>0</v>
      </c>
      <c r="G62" s="22">
        <f>G55+G61</f>
        <v>1315094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6931025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6931025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242982.31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2179.2199999999998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11383.59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256545.12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7187570.1200000001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9197.84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110101.17</v>
      </c>
      <c r="D87" s="95">
        <f>SUM('DOE25'!G152:G160)</f>
        <v>100385.95999999999</v>
      </c>
      <c r="E87" s="95">
        <f>SUM('DOE25'!H152:H160)</f>
        <v>325738.46999999997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110101.17</v>
      </c>
      <c r="D90" s="131">
        <f>SUM(D84:D89)</f>
        <v>100385.95999999999</v>
      </c>
      <c r="E90" s="131">
        <f>SUM(E84:E89)</f>
        <v>334936.31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100000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100000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>
      <c r="A103" s="33" t="s">
        <v>765</v>
      </c>
      <c r="C103" s="86">
        <f>C62+C80+C90+C102</f>
        <v>12834038.970000001</v>
      </c>
      <c r="D103" s="86">
        <f>D62+D80+D90+D102</f>
        <v>289562.32999999996</v>
      </c>
      <c r="E103" s="86">
        <f>E62+E80+E90+E102</f>
        <v>341566.88</v>
      </c>
      <c r="F103" s="86">
        <f>F62+F80+F90+F102</f>
        <v>0</v>
      </c>
      <c r="G103" s="86">
        <f>G62+G80+G102</f>
        <v>1365094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5453610.1900000004</v>
      </c>
      <c r="D108" s="24" t="s">
        <v>289</v>
      </c>
      <c r="E108" s="95">
        <f>('DOE25'!L275)+('DOE25'!L294)+('DOE25'!L313)</f>
        <v>168944.85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2110611.39</v>
      </c>
      <c r="D109" s="24" t="s">
        <v>289</v>
      </c>
      <c r="E109" s="95">
        <f>('DOE25'!L276)+('DOE25'!L295)+('DOE25'!L314)</f>
        <v>172622.03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52518.27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308899.06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7925638.9099999992</v>
      </c>
      <c r="D114" s="86">
        <f>SUM(D108:D113)</f>
        <v>0</v>
      </c>
      <c r="E114" s="86">
        <f>SUM(E108:E113)</f>
        <v>341566.88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434722.19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901669.20000000007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493504.5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674486.04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1315565.5699999998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450646.62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289539.44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4270594.12</v>
      </c>
      <c r="D127" s="86">
        <f>SUM(D117:D126)</f>
        <v>289539.44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748190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227848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1365094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-1315094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1026038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13222271.029999999</v>
      </c>
      <c r="D144" s="86">
        <f>(D114+D127+D143)</f>
        <v>289539.44</v>
      </c>
      <c r="E144" s="86">
        <f>(E114+E127+E143)</f>
        <v>341566.88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04/2003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01/2018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11362231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3.98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5272908.21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5272908.21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748190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748190</v>
      </c>
    </row>
    <row r="158" spans="1:9">
      <c r="A158" s="22" t="s">
        <v>35</v>
      </c>
      <c r="B158" s="137">
        <f>'DOE25'!F497</f>
        <v>4524718.21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4524718.21</v>
      </c>
    </row>
    <row r="159" spans="1:9">
      <c r="A159" s="22" t="s">
        <v>36</v>
      </c>
      <c r="B159" s="137">
        <f>'DOE25'!F498</f>
        <v>355460.43000000005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355460.43000000005</v>
      </c>
    </row>
    <row r="160" spans="1:9">
      <c r="A160" s="22" t="s">
        <v>37</v>
      </c>
      <c r="B160" s="137">
        <f>'DOE25'!F499</f>
        <v>4880178.6399999997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4880178.6399999997</v>
      </c>
    </row>
    <row r="161" spans="1:7">
      <c r="A161" s="22" t="s">
        <v>38</v>
      </c>
      <c r="B161" s="137">
        <f>'DOE25'!F500</f>
        <v>777689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777689</v>
      </c>
    </row>
    <row r="162" spans="1:7">
      <c r="A162" s="22" t="s">
        <v>39</v>
      </c>
      <c r="B162" s="137">
        <f>'DOE25'!F501</f>
        <v>198348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198348</v>
      </c>
    </row>
    <row r="163" spans="1:7">
      <c r="A163" s="22" t="s">
        <v>246</v>
      </c>
      <c r="B163" s="137">
        <f>'DOE25'!F502</f>
        <v>976037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976037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1" t="s">
        <v>740</v>
      </c>
      <c r="B1" s="281"/>
      <c r="C1" s="281"/>
      <c r="D1" s="281"/>
    </row>
    <row r="2" spans="1:4">
      <c r="A2" s="187" t="s">
        <v>717</v>
      </c>
      <c r="B2" s="186" t="str">
        <f>'DOE25'!A2</f>
        <v>Moultonborough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21066</v>
      </c>
    </row>
    <row r="5" spans="1:4">
      <c r="B5" t="s">
        <v>704</v>
      </c>
      <c r="C5" s="179">
        <f>IF('DOE25'!G664+'DOE25'!G669=0,0,ROUND('DOE25'!G671,0))</f>
        <v>19583</v>
      </c>
    </row>
    <row r="6" spans="1:4">
      <c r="B6" t="s">
        <v>62</v>
      </c>
      <c r="C6" s="179">
        <f>IF('DOE25'!H664+'DOE25'!H669=0,0,ROUND('DOE25'!H671,0))</f>
        <v>19350</v>
      </c>
    </row>
    <row r="7" spans="1:4">
      <c r="B7" t="s">
        <v>705</v>
      </c>
      <c r="C7" s="179">
        <f>IF('DOE25'!I664+'DOE25'!I669=0,0,ROUND('DOE25'!I671,0))</f>
        <v>20167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5622555</v>
      </c>
      <c r="D10" s="182">
        <f>ROUND((C10/$C$28)*100,1)</f>
        <v>43.7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2283233</v>
      </c>
      <c r="D11" s="182">
        <f>ROUND((C11/$C$28)*100,1)</f>
        <v>17.7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52518</v>
      </c>
      <c r="D12" s="182">
        <f>ROUND((C12/$C$28)*100,1)</f>
        <v>0.4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308899</v>
      </c>
      <c r="D13" s="182">
        <f>ROUND((C13/$C$28)*100,1)</f>
        <v>2.4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434722</v>
      </c>
      <c r="D15" s="182">
        <f t="shared" ref="D15:D27" si="0">ROUND((C15/$C$28)*100,1)</f>
        <v>3.4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901669</v>
      </c>
      <c r="D16" s="182">
        <f t="shared" si="0"/>
        <v>7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493505</v>
      </c>
      <c r="D17" s="182">
        <f t="shared" si="0"/>
        <v>3.8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674486</v>
      </c>
      <c r="D18" s="182">
        <f t="shared" si="0"/>
        <v>5.2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1315566</v>
      </c>
      <c r="D20" s="182">
        <f t="shared" si="0"/>
        <v>10.199999999999999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450647</v>
      </c>
      <c r="D21" s="182">
        <f t="shared" si="0"/>
        <v>3.5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227848</v>
      </c>
      <c r="D25" s="182">
        <f t="shared" si="0"/>
        <v>1.8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100362.63</v>
      </c>
      <c r="D27" s="182">
        <f t="shared" si="0"/>
        <v>0.8</v>
      </c>
    </row>
    <row r="28" spans="1:4">
      <c r="B28" s="187" t="s">
        <v>723</v>
      </c>
      <c r="C28" s="180">
        <f>SUM(C10:C27)</f>
        <v>12866010.630000001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12866010.630000001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748190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5401859</v>
      </c>
      <c r="D35" s="182">
        <f t="shared" ref="D35:D40" si="1">ROUND((C35/$C$41)*100,1)</f>
        <v>37.299999999999997</v>
      </c>
    </row>
    <row r="36" spans="1:4">
      <c r="B36" s="185" t="s">
        <v>743</v>
      </c>
      <c r="C36" s="179">
        <f>SUM('DOE25'!F111:J111)-SUM('DOE25'!G96:G109)+('DOE25'!F173+'DOE25'!F174+'DOE25'!I173+'DOE25'!I174)-C35</f>
        <v>1356233.25</v>
      </c>
      <c r="D36" s="182">
        <f t="shared" si="1"/>
        <v>9.4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6931025</v>
      </c>
      <c r="D37" s="182">
        <f t="shared" si="1"/>
        <v>47.8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256545</v>
      </c>
      <c r="D38" s="182">
        <f t="shared" si="1"/>
        <v>1.8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545423</v>
      </c>
      <c r="D39" s="182">
        <f t="shared" si="1"/>
        <v>3.8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14491085.25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2" t="str">
        <f>'DOE25'!A2</f>
        <v>Moultonborough School District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4"/>
      <c r="O32" s="224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9"/>
      <c r="AB32" s="220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9"/>
      <c r="AO32" s="220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9"/>
      <c r="BB32" s="220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9"/>
      <c r="BO32" s="220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9"/>
      <c r="CB32" s="220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9"/>
      <c r="CO32" s="220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9"/>
      <c r="DB32" s="220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9"/>
      <c r="DO32" s="220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9"/>
      <c r="EB32" s="220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9"/>
      <c r="EO32" s="220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9"/>
      <c r="FB32" s="220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9"/>
      <c r="FO32" s="220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9"/>
      <c r="GB32" s="220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9"/>
      <c r="GO32" s="220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9"/>
      <c r="HB32" s="220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9"/>
      <c r="HO32" s="220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9"/>
      <c r="IB32" s="220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9"/>
      <c r="IO32" s="220"/>
      <c r="IP32" s="286"/>
      <c r="IQ32" s="286"/>
      <c r="IR32" s="286"/>
      <c r="IS32" s="286"/>
      <c r="IT32" s="286"/>
      <c r="IU32" s="286"/>
      <c r="IV32" s="286"/>
    </row>
    <row r="33" spans="1:256">
      <c r="A33" s="219"/>
      <c r="B33" s="220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>
      <c r="A60" s="219"/>
      <c r="B60" s="220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>
      <c r="A61" s="219"/>
      <c r="B61" s="220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>
      <c r="A62" s="219"/>
      <c r="B62" s="220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>
      <c r="A63" s="219"/>
      <c r="B63" s="220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>
      <c r="A64" s="219"/>
      <c r="B64" s="220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>
      <c r="A65" s="219"/>
      <c r="B65" s="220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>
      <c r="A66" s="219"/>
      <c r="B66" s="220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>
      <c r="A67" s="219"/>
      <c r="B67" s="220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>
      <c r="A68" s="219"/>
      <c r="B68" s="220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>
      <c r="A69" s="219"/>
      <c r="B69" s="22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BP39:BZ39"/>
    <mergeCell ref="C56:M56"/>
    <mergeCell ref="C57:M57"/>
    <mergeCell ref="C59:M59"/>
    <mergeCell ref="C60:M60"/>
    <mergeCell ref="C58:M58"/>
    <mergeCell ref="P39:Z39"/>
    <mergeCell ref="AC39:AM39"/>
    <mergeCell ref="AP39:AZ39"/>
    <mergeCell ref="C42:M42"/>
    <mergeCell ref="C45:M45"/>
    <mergeCell ref="C46:M46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HP39:HZ39"/>
    <mergeCell ref="IC39:IM39"/>
    <mergeCell ref="HC39:HM39"/>
    <mergeCell ref="DC39:DM39"/>
    <mergeCell ref="DP39:DZ39"/>
    <mergeCell ref="EC39:EM39"/>
    <mergeCell ref="GC39:GM39"/>
    <mergeCell ref="IC40:IM40"/>
    <mergeCell ref="IP40:IV40"/>
    <mergeCell ref="GC40:GM40"/>
    <mergeCell ref="GP40:GZ40"/>
    <mergeCell ref="HC40:HM40"/>
    <mergeCell ref="IC32:IM32"/>
    <mergeCell ref="IP32:IV32"/>
    <mergeCell ref="FC32:FM32"/>
    <mergeCell ref="AP38:AZ38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HC32:HM32"/>
    <mergeCell ref="DC32:DM32"/>
    <mergeCell ref="DP32:DZ32"/>
    <mergeCell ref="EC32:EM32"/>
    <mergeCell ref="EP32:EZ32"/>
    <mergeCell ref="FP32:FZ32"/>
    <mergeCell ref="GC32:GM32"/>
    <mergeCell ref="FC38:FM38"/>
    <mergeCell ref="FP38:FZ38"/>
    <mergeCell ref="GC38:GM38"/>
    <mergeCell ref="GP38:GZ38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IC29:IM29"/>
    <mergeCell ref="IP29:IV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BC30:BM30"/>
    <mergeCell ref="BP30:BZ3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BC29:BM29"/>
    <mergeCell ref="BP29:BZ29"/>
    <mergeCell ref="CC29:CM29"/>
    <mergeCell ref="CP29:CZ29"/>
    <mergeCell ref="C11:M11"/>
    <mergeCell ref="C12:M12"/>
    <mergeCell ref="C5:M5"/>
    <mergeCell ref="C6:M6"/>
    <mergeCell ref="DC29:DM29"/>
    <mergeCell ref="AC29:AM29"/>
    <mergeCell ref="AP29:AZ29"/>
    <mergeCell ref="P31:Z31"/>
    <mergeCell ref="AC31:AM31"/>
    <mergeCell ref="A2:E2"/>
    <mergeCell ref="C20:M20"/>
    <mergeCell ref="P32:Z32"/>
    <mergeCell ref="C61:M61"/>
    <mergeCell ref="C53:M53"/>
    <mergeCell ref="C54:M54"/>
    <mergeCell ref="C55:M55"/>
    <mergeCell ref="C34:M34"/>
    <mergeCell ref="C35:M35"/>
    <mergeCell ref="C36:M36"/>
    <mergeCell ref="A1:I1"/>
    <mergeCell ref="C3:M3"/>
    <mergeCell ref="C4:M4"/>
    <mergeCell ref="F2:I2"/>
    <mergeCell ref="C9:M9"/>
    <mergeCell ref="C7:M7"/>
    <mergeCell ref="C8:M8"/>
    <mergeCell ref="P29:Z29"/>
    <mergeCell ref="C13:M13"/>
    <mergeCell ref="C14:M14"/>
    <mergeCell ref="C10:M10"/>
    <mergeCell ref="C16:M16"/>
    <mergeCell ref="C17:M17"/>
    <mergeCell ref="C18:M18"/>
    <mergeCell ref="C19:M19"/>
    <mergeCell ref="C15:M15"/>
    <mergeCell ref="C25:M25"/>
    <mergeCell ref="C26:M26"/>
    <mergeCell ref="C27:M27"/>
    <mergeCell ref="C28:M28"/>
    <mergeCell ref="C21:M21"/>
    <mergeCell ref="C22:M22"/>
    <mergeCell ref="C23:M23"/>
    <mergeCell ref="C24:M24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51:M51"/>
    <mergeCell ref="C62:M62"/>
    <mergeCell ref="C63:M63"/>
    <mergeCell ref="C64:M64"/>
    <mergeCell ref="C65:M65"/>
    <mergeCell ref="C52:M52"/>
    <mergeCell ref="C50:M50"/>
    <mergeCell ref="C47:M47"/>
    <mergeCell ref="C48:M48"/>
    <mergeCell ref="C49:M49"/>
    <mergeCell ref="C32:M32"/>
    <mergeCell ref="C30:M30"/>
    <mergeCell ref="C31:M31"/>
    <mergeCell ref="C75:M75"/>
    <mergeCell ref="C76:M76"/>
    <mergeCell ref="C77:M77"/>
    <mergeCell ref="C78:M78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87:M8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2012-11-06T17:50:18Z</cp:lastPrinted>
  <dcterms:created xsi:type="dcterms:W3CDTF">1997-12-04T19:04:30Z</dcterms:created>
  <dcterms:modified xsi:type="dcterms:W3CDTF">2012-11-21T15:07:19Z</dcterms:modified>
</cp:coreProperties>
</file>