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150" windowWidth="12735" windowHeight="6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458" i="1" l="1"/>
  <c r="C36" i="12"/>
  <c r="H154" i="1"/>
  <c r="H160" i="1"/>
  <c r="H158" i="1"/>
  <c r="H155" i="1"/>
  <c r="H153" i="1"/>
  <c r="H149" i="1"/>
  <c r="H134" i="1"/>
  <c r="H132" i="1"/>
  <c r="H130" i="1"/>
  <c r="H471" i="1"/>
  <c r="H48" i="1"/>
  <c r="H47" i="1"/>
  <c r="H97" i="1"/>
  <c r="H62" i="1"/>
  <c r="F29" i="13"/>
  <c r="C27" i="12"/>
  <c r="G361" i="1"/>
  <c r="H336" i="1"/>
  <c r="L323" i="1"/>
  <c r="L304" i="1"/>
  <c r="L241" i="1"/>
  <c r="L240" i="1"/>
  <c r="L239" i="1"/>
  <c r="L233" i="1"/>
  <c r="L232" i="1"/>
  <c r="L226" i="1"/>
  <c r="G6" i="13"/>
  <c r="L219" i="1"/>
  <c r="F14" i="13"/>
  <c r="G12" i="13"/>
  <c r="F7" i="13"/>
  <c r="L201" i="1"/>
  <c r="G5" i="13"/>
  <c r="F5" i="13"/>
  <c r="L196" i="1"/>
  <c r="F126" i="1"/>
  <c r="I506" i="1"/>
  <c r="H78" i="1"/>
  <c r="E56" i="2"/>
  <c r="I41" i="1"/>
  <c r="G40" i="1"/>
  <c r="G12" i="1"/>
  <c r="J471" i="1"/>
  <c r="G13" i="1"/>
  <c r="G131" i="1"/>
  <c r="H110" i="1"/>
  <c r="H428" i="1"/>
  <c r="L428" i="1"/>
  <c r="J425" i="1"/>
  <c r="I425" i="1"/>
  <c r="I426" i="1" s="1"/>
  <c r="I433" i="1" s="1"/>
  <c r="H425" i="1"/>
  <c r="H402" i="1"/>
  <c r="I402" i="1"/>
  <c r="I399" i="1"/>
  <c r="I400" i="1"/>
  <c r="H399" i="1"/>
  <c r="H395" i="1"/>
  <c r="H388" i="1"/>
  <c r="L388" i="1"/>
  <c r="K374" i="1"/>
  <c r="J95" i="1"/>
  <c r="G58" i="2" s="1"/>
  <c r="G61" i="2" s="1"/>
  <c r="J101" i="1"/>
  <c r="G96" i="1"/>
  <c r="F109" i="1"/>
  <c r="F110" i="1" s="1"/>
  <c r="H439" i="1"/>
  <c r="I439" i="1" s="1"/>
  <c r="J10" i="1" s="1"/>
  <c r="G9" i="2" s="1"/>
  <c r="H438" i="1"/>
  <c r="F458" i="1"/>
  <c r="F459" i="1"/>
  <c r="F438" i="1"/>
  <c r="I19" i="1"/>
  <c r="G619" i="1" s="1"/>
  <c r="H14" i="1"/>
  <c r="E46" i="2"/>
  <c r="D39" i="2"/>
  <c r="G654" i="1"/>
  <c r="F47" i="2"/>
  <c r="E47" i="2"/>
  <c r="D47" i="2"/>
  <c r="C47" i="2"/>
  <c r="F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 s="1"/>
  <c r="I457" i="1"/>
  <c r="J39" i="1" s="1"/>
  <c r="G38" i="2" s="1"/>
  <c r="C37" i="10"/>
  <c r="C67" i="2"/>
  <c r="B2" i="13"/>
  <c r="F8" i="13"/>
  <c r="G8" i="13"/>
  <c r="D39" i="13"/>
  <c r="F13" i="13"/>
  <c r="G13" i="13"/>
  <c r="F16" i="13"/>
  <c r="L244" i="1"/>
  <c r="F6" i="13"/>
  <c r="G7" i="13"/>
  <c r="F12" i="13"/>
  <c r="F17" i="13"/>
  <c r="G17" i="13"/>
  <c r="L250" i="1"/>
  <c r="F18" i="13"/>
  <c r="G18" i="13"/>
  <c r="L251" i="1"/>
  <c r="F19" i="13"/>
  <c r="G19" i="13"/>
  <c r="L252" i="1"/>
  <c r="L277" i="1"/>
  <c r="L282" i="1"/>
  <c r="L306" i="1"/>
  <c r="L321" i="1"/>
  <c r="L325" i="1"/>
  <c r="L333" i="1"/>
  <c r="L334" i="1"/>
  <c r="L259" i="1"/>
  <c r="C130" i="2"/>
  <c r="L340" i="1"/>
  <c r="L341" i="1"/>
  <c r="L254" i="1"/>
  <c r="L335" i="1"/>
  <c r="C10" i="13"/>
  <c r="C9" i="13"/>
  <c r="L360" i="1"/>
  <c r="B4" i="12"/>
  <c r="B1" i="12"/>
  <c r="L386" i="1"/>
  <c r="L387" i="1"/>
  <c r="L389" i="1"/>
  <c r="L390" i="1"/>
  <c r="L391" i="1"/>
  <c r="L394" i="1"/>
  <c r="L395" i="1"/>
  <c r="L396" i="1"/>
  <c r="L397" i="1"/>
  <c r="L398" i="1"/>
  <c r="L403" i="1"/>
  <c r="L404" i="1"/>
  <c r="L405" i="1"/>
  <c r="L265" i="1"/>
  <c r="J59" i="1"/>
  <c r="G55" i="2" s="1"/>
  <c r="G60" i="2"/>
  <c r="F2" i="11"/>
  <c r="L612" i="1"/>
  <c r="H662" i="1" s="1"/>
  <c r="L611" i="1"/>
  <c r="G662" i="1" s="1"/>
  <c r="L610" i="1"/>
  <c r="F662" i="1" s="1"/>
  <c r="C40" i="10"/>
  <c r="F59" i="1"/>
  <c r="G59" i="1"/>
  <c r="G111" i="1" s="1"/>
  <c r="H59" i="1"/>
  <c r="E55" i="2"/>
  <c r="I59" i="1"/>
  <c r="F78" i="1"/>
  <c r="C56" i="2" s="1"/>
  <c r="C61" i="2" s="1"/>
  <c r="F93" i="1"/>
  <c r="G110" i="1"/>
  <c r="H93" i="1"/>
  <c r="E57" i="2" s="1"/>
  <c r="I110" i="1"/>
  <c r="I111" i="1" s="1"/>
  <c r="F120" i="1"/>
  <c r="F139" i="1" s="1"/>
  <c r="F135" i="1"/>
  <c r="G120" i="1"/>
  <c r="H120" i="1"/>
  <c r="H135" i="1"/>
  <c r="I120" i="1"/>
  <c r="I135" i="1"/>
  <c r="I139" i="1"/>
  <c r="J120" i="1"/>
  <c r="J135" i="1"/>
  <c r="F146" i="1"/>
  <c r="F161" i="1"/>
  <c r="F168" i="1" s="1"/>
  <c r="G146" i="1"/>
  <c r="G161" i="1"/>
  <c r="G168" i="1"/>
  <c r="H146" i="1"/>
  <c r="H161" i="1"/>
  <c r="I146" i="1"/>
  <c r="I161" i="1"/>
  <c r="L249" i="1"/>
  <c r="L253" i="1"/>
  <c r="L267" i="1"/>
  <c r="L268" i="1"/>
  <c r="L348" i="1"/>
  <c r="E141" i="2"/>
  <c r="L349" i="1"/>
  <c r="I664" i="1"/>
  <c r="I669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35" i="1"/>
  <c r="I548" i="1"/>
  <c r="L536" i="1"/>
  <c r="I549" i="1"/>
  <c r="L537" i="1"/>
  <c r="I550" i="1"/>
  <c r="L540" i="1"/>
  <c r="J548" i="1"/>
  <c r="L541" i="1"/>
  <c r="J549" i="1"/>
  <c r="L542" i="1"/>
  <c r="J550" i="1" s="1"/>
  <c r="E131" i="2"/>
  <c r="E130" i="2"/>
  <c r="J269" i="1"/>
  <c r="I269" i="1"/>
  <c r="H269" i="1"/>
  <c r="G269" i="1"/>
  <c r="F269" i="1"/>
  <c r="A1" i="2"/>
  <c r="A2" i="2"/>
  <c r="C8" i="2"/>
  <c r="C18" i="2" s="1"/>
  <c r="D8" i="2"/>
  <c r="E8" i="2"/>
  <c r="F8" i="2"/>
  <c r="I438" i="1"/>
  <c r="C9" i="2"/>
  <c r="D9" i="2"/>
  <c r="E9" i="2"/>
  <c r="F9" i="2"/>
  <c r="C10" i="2"/>
  <c r="C11" i="2"/>
  <c r="D11" i="2"/>
  <c r="E11" i="2"/>
  <c r="F11" i="2"/>
  <c r="I440" i="1"/>
  <c r="C12" i="2"/>
  <c r="D12" i="2"/>
  <c r="E12" i="2"/>
  <c r="F12" i="2"/>
  <c r="I441" i="1"/>
  <c r="J13" i="1"/>
  <c r="G12" i="2" s="1"/>
  <c r="C13" i="2"/>
  <c r="D13" i="2"/>
  <c r="F13" i="2"/>
  <c r="I442" i="1"/>
  <c r="J14" i="1" s="1"/>
  <c r="G13" i="2" s="1"/>
  <c r="C15" i="2"/>
  <c r="D15" i="2"/>
  <c r="E15" i="2"/>
  <c r="F15" i="2"/>
  <c r="C16" i="2"/>
  <c r="D16" i="2"/>
  <c r="E16" i="2"/>
  <c r="F16" i="2"/>
  <c r="I443" i="1"/>
  <c r="J17" i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C31" i="2" s="1"/>
  <c r="D22" i="2"/>
  <c r="E22" i="2"/>
  <c r="E31" i="2" s="1"/>
  <c r="F22" i="2"/>
  <c r="F31" i="2" s="1"/>
  <c r="I448" i="1"/>
  <c r="J23" i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D49" i="2" s="1"/>
  <c r="E34" i="2"/>
  <c r="F34" i="2"/>
  <c r="C35" i="2"/>
  <c r="D35" i="2"/>
  <c r="E35" i="2"/>
  <c r="F35" i="2"/>
  <c r="I453" i="1"/>
  <c r="J48" i="1" s="1"/>
  <c r="I455" i="1"/>
  <c r="J43" i="1" s="1"/>
  <c r="G42" i="2" s="1"/>
  <c r="I456" i="1"/>
  <c r="I458" i="1"/>
  <c r="J47" i="1" s="1"/>
  <c r="G46" i="2" s="1"/>
  <c r="C48" i="2"/>
  <c r="C55" i="2"/>
  <c r="F55" i="2"/>
  <c r="C57" i="2"/>
  <c r="C58" i="2"/>
  <c r="D58" i="2"/>
  <c r="E58" i="2"/>
  <c r="F58" i="2"/>
  <c r="D59" i="2"/>
  <c r="D61" i="2" s="1"/>
  <c r="D60" i="2"/>
  <c r="E60" i="2"/>
  <c r="F60" i="2"/>
  <c r="C65" i="2"/>
  <c r="C69" i="2" s="1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F77" i="2" s="1"/>
  <c r="F80" i="2" s="1"/>
  <c r="C76" i="2"/>
  <c r="E76" i="2"/>
  <c r="F76" i="2"/>
  <c r="G76" i="2"/>
  <c r="G77" i="2" s="1"/>
  <c r="G80" i="2" s="1"/>
  <c r="C78" i="2"/>
  <c r="D78" i="2"/>
  <c r="E78" i="2"/>
  <c r="C79" i="2"/>
  <c r="E79" i="2"/>
  <c r="C84" i="2"/>
  <c r="D84" i="2"/>
  <c r="F84" i="2"/>
  <c r="C86" i="2"/>
  <c r="E86" i="2"/>
  <c r="F86" i="2"/>
  <c r="C87" i="2"/>
  <c r="D87" i="2"/>
  <c r="E87" i="2"/>
  <c r="F87" i="2"/>
  <c r="F90" i="2" s="1"/>
  <c r="C88" i="2"/>
  <c r="D88" i="2"/>
  <c r="E88" i="2"/>
  <c r="F88" i="2"/>
  <c r="C89" i="2"/>
  <c r="C92" i="2"/>
  <c r="C102" i="2" s="1"/>
  <c r="F92" i="2"/>
  <c r="C93" i="2"/>
  <c r="F93" i="2"/>
  <c r="D95" i="2"/>
  <c r="E95" i="2"/>
  <c r="F95" i="2"/>
  <c r="G95" i="2"/>
  <c r="C96" i="2"/>
  <c r="D96" i="2"/>
  <c r="D102" i="2" s="1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12" i="2"/>
  <c r="D114" i="2"/>
  <c r="F114" i="2"/>
  <c r="G114" i="2"/>
  <c r="F127" i="2"/>
  <c r="G127" i="2"/>
  <c r="C129" i="2"/>
  <c r="F129" i="2"/>
  <c r="F143" i="2" s="1"/>
  <c r="F144" i="2" s="1"/>
  <c r="D133" i="2"/>
  <c r="D143" i="2"/>
  <c r="F133" i="2"/>
  <c r="K418" i="1"/>
  <c r="K426" i="1"/>
  <c r="K432" i="1"/>
  <c r="K433" i="1" s="1"/>
  <c r="G133" i="2" s="1"/>
  <c r="G143" i="2" s="1"/>
  <c r="L262" i="1"/>
  <c r="C134" i="2"/>
  <c r="E134" i="2"/>
  <c r="L263" i="1"/>
  <c r="C135" i="2" s="1"/>
  <c r="L264" i="1"/>
  <c r="C136" i="2" s="1"/>
  <c r="E136" i="2"/>
  <c r="C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G155" i="2"/>
  <c r="B156" i="2"/>
  <c r="C156" i="2"/>
  <c r="G156" i="2" s="1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G161" i="2" s="1"/>
  <c r="D161" i="2"/>
  <c r="E161" i="2"/>
  <c r="F161" i="2"/>
  <c r="B162" i="2"/>
  <c r="C162" i="2"/>
  <c r="D162" i="2"/>
  <c r="G162" i="2" s="1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616" i="1"/>
  <c r="J616" i="1" s="1"/>
  <c r="G19" i="1"/>
  <c r="G617" i="1" s="1"/>
  <c r="F32" i="1"/>
  <c r="G32" i="1"/>
  <c r="H32" i="1"/>
  <c r="I32" i="1"/>
  <c r="F50" i="1"/>
  <c r="F51" i="1"/>
  <c r="H616" i="1" s="1"/>
  <c r="G50" i="1"/>
  <c r="G622" i="1" s="1"/>
  <c r="H50" i="1"/>
  <c r="H51" i="1" s="1"/>
  <c r="H618" i="1" s="1"/>
  <c r="F176" i="1"/>
  <c r="F191" i="1" s="1"/>
  <c r="I176" i="1"/>
  <c r="F182" i="1"/>
  <c r="G182" i="1"/>
  <c r="H182" i="1"/>
  <c r="I182" i="1"/>
  <c r="I191" i="1"/>
  <c r="J182" i="1"/>
  <c r="G644" i="1" s="1"/>
  <c r="F187" i="1"/>
  <c r="G187" i="1"/>
  <c r="H187" i="1"/>
  <c r="H191" i="1"/>
  <c r="I187" i="1"/>
  <c r="F255" i="1"/>
  <c r="G255" i="1"/>
  <c r="H255" i="1"/>
  <c r="I255" i="1"/>
  <c r="J255" i="1"/>
  <c r="K255" i="1"/>
  <c r="F336" i="1"/>
  <c r="I336" i="1"/>
  <c r="J336" i="1"/>
  <c r="G368" i="1"/>
  <c r="L358" i="1"/>
  <c r="H368" i="1"/>
  <c r="L359" i="1"/>
  <c r="L380" i="1"/>
  <c r="F381" i="1"/>
  <c r="G381" i="1"/>
  <c r="H381" i="1"/>
  <c r="I381" i="1"/>
  <c r="J381" i="1"/>
  <c r="K381" i="1"/>
  <c r="F392" i="1"/>
  <c r="G392" i="1"/>
  <c r="I392" i="1"/>
  <c r="F400" i="1"/>
  <c r="G400" i="1"/>
  <c r="G407" i="1" s="1"/>
  <c r="H644" i="1" s="1"/>
  <c r="F406" i="1"/>
  <c r="G406" i="1"/>
  <c r="H406" i="1"/>
  <c r="L412" i="1"/>
  <c r="L413" i="1"/>
  <c r="L414" i="1"/>
  <c r="L415" i="1"/>
  <c r="L416" i="1"/>
  <c r="L417" i="1"/>
  <c r="F418" i="1"/>
  <c r="G418" i="1"/>
  <c r="G433" i="1" s="1"/>
  <c r="H418" i="1"/>
  <c r="I418" i="1"/>
  <c r="J418" i="1"/>
  <c r="L420" i="1"/>
  <c r="L421" i="1"/>
  <c r="L422" i="1"/>
  <c r="L423" i="1"/>
  <c r="L424" i="1"/>
  <c r="F426" i="1"/>
  <c r="F433" i="1" s="1"/>
  <c r="G426" i="1"/>
  <c r="H426" i="1"/>
  <c r="J426" i="1"/>
  <c r="L429" i="1"/>
  <c r="L430" i="1"/>
  <c r="L431" i="1"/>
  <c r="F432" i="1"/>
  <c r="G432" i="1"/>
  <c r="H432" i="1"/>
  <c r="H433" i="1"/>
  <c r="I432" i="1"/>
  <c r="J432" i="1"/>
  <c r="J433" i="1" s="1"/>
  <c r="F445" i="1"/>
  <c r="G445" i="1"/>
  <c r="G639" i="1"/>
  <c r="F451" i="1"/>
  <c r="F460" i="1" s="1"/>
  <c r="H638" i="1" s="1"/>
  <c r="G451" i="1"/>
  <c r="H451" i="1"/>
  <c r="G459" i="1"/>
  <c r="G460" i="1" s="1"/>
  <c r="H639" i="1" s="1"/>
  <c r="H459" i="1"/>
  <c r="H460" i="1" s="1"/>
  <c r="H640" i="1" s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H570" i="1" s="1"/>
  <c r="I559" i="1"/>
  <c r="J559" i="1"/>
  <c r="J570" i="1" s="1"/>
  <c r="K559" i="1"/>
  <c r="L562" i="1"/>
  <c r="F564" i="1"/>
  <c r="H564" i="1"/>
  <c r="I564" i="1"/>
  <c r="I570" i="1" s="1"/>
  <c r="J564" i="1"/>
  <c r="K564" i="1"/>
  <c r="K570" i="1" s="1"/>
  <c r="L566" i="1"/>
  <c r="L567" i="1"/>
  <c r="L568" i="1"/>
  <c r="L569" i="1" s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3" i="1"/>
  <c r="I604" i="1"/>
  <c r="J604" i="1"/>
  <c r="F613" i="1"/>
  <c r="G613" i="1"/>
  <c r="H613" i="1"/>
  <c r="I613" i="1"/>
  <c r="J613" i="1"/>
  <c r="K613" i="1"/>
  <c r="G621" i="1"/>
  <c r="H631" i="1"/>
  <c r="H632" i="1"/>
  <c r="H634" i="1"/>
  <c r="H635" i="1"/>
  <c r="H637" i="1"/>
  <c r="G638" i="1"/>
  <c r="J638" i="1" s="1"/>
  <c r="G642" i="1"/>
  <c r="G651" i="1"/>
  <c r="H651" i="1"/>
  <c r="J651" i="1" s="1"/>
  <c r="G652" i="1"/>
  <c r="H652" i="1"/>
  <c r="G653" i="1"/>
  <c r="H653" i="1"/>
  <c r="H654" i="1"/>
  <c r="J654" i="1"/>
  <c r="G158" i="2"/>
  <c r="C90" i="2"/>
  <c r="F61" i="2"/>
  <c r="F62" i="2"/>
  <c r="G102" i="2"/>
  <c r="D19" i="13"/>
  <c r="C19" i="13" s="1"/>
  <c r="I168" i="1"/>
  <c r="J139" i="1"/>
  <c r="I551" i="1"/>
  <c r="G22" i="2"/>
  <c r="C29" i="10"/>
  <c r="L559" i="1"/>
  <c r="G191" i="1"/>
  <c r="C49" i="2"/>
  <c r="C50" i="2"/>
  <c r="L425" i="1"/>
  <c r="L426" i="1"/>
  <c r="L402" i="1"/>
  <c r="L406" i="1"/>
  <c r="C139" i="2" s="1"/>
  <c r="I407" i="1"/>
  <c r="I406" i="1"/>
  <c r="L399" i="1"/>
  <c r="L400" i="1" s="1"/>
  <c r="C138" i="2"/>
  <c r="H400" i="1"/>
  <c r="H392" i="1"/>
  <c r="H407" i="1" s="1"/>
  <c r="H643" i="1" s="1"/>
  <c r="J643" i="1" s="1"/>
  <c r="G62" i="2"/>
  <c r="G103" i="2" s="1"/>
  <c r="G643" i="1"/>
  <c r="J110" i="1"/>
  <c r="J111" i="1"/>
  <c r="J191" i="1"/>
  <c r="C60" i="2"/>
  <c r="F111" i="1"/>
  <c r="F192" i="1" s="1"/>
  <c r="F467" i="1" s="1"/>
  <c r="C77" i="2"/>
  <c r="C80" i="2" s="1"/>
  <c r="J37" i="1"/>
  <c r="H445" i="1"/>
  <c r="G640" i="1"/>
  <c r="J640" i="1" s="1"/>
  <c r="G31" i="2"/>
  <c r="J32" i="1"/>
  <c r="I451" i="1"/>
  <c r="F14" i="2"/>
  <c r="F18" i="2"/>
  <c r="E49" i="2"/>
  <c r="E50" i="2"/>
  <c r="I459" i="1"/>
  <c r="I460" i="1"/>
  <c r="H641" i="1" s="1"/>
  <c r="G47" i="2"/>
  <c r="K502" i="1"/>
  <c r="J12" i="1"/>
  <c r="G11" i="2"/>
  <c r="G51" i="1"/>
  <c r="H617" i="1"/>
  <c r="J617" i="1" s="1"/>
  <c r="G36" i="2"/>
  <c r="C26" i="10"/>
  <c r="G163" i="2"/>
  <c r="C62" i="2"/>
  <c r="C103" i="2"/>
  <c r="D18" i="2"/>
  <c r="E18" i="2"/>
  <c r="L392" i="1"/>
  <c r="E129" i="2"/>
  <c r="E143" i="2" s="1"/>
  <c r="F22" i="13"/>
  <c r="D18" i="13"/>
  <c r="C18" i="13"/>
  <c r="E13" i="2"/>
  <c r="H19" i="1"/>
  <c r="G618" i="1" s="1"/>
  <c r="J618" i="1" s="1"/>
  <c r="I50" i="1"/>
  <c r="I51" i="1" s="1"/>
  <c r="H619" i="1" s="1"/>
  <c r="F40" i="2"/>
  <c r="F49" i="2"/>
  <c r="F50" i="2" s="1"/>
  <c r="F407" i="1"/>
  <c r="H642" i="1"/>
  <c r="J642" i="1" s="1"/>
  <c r="G160" i="2"/>
  <c r="E133" i="2"/>
  <c r="L350" i="1"/>
  <c r="L381" i="1"/>
  <c r="G635" i="1"/>
  <c r="J635" i="1" s="1"/>
  <c r="K499" i="1"/>
  <c r="L418" i="1"/>
  <c r="G159" i="2"/>
  <c r="F102" i="2"/>
  <c r="F103" i="2" s="1"/>
  <c r="D90" i="2"/>
  <c r="D31" i="2"/>
  <c r="D50" i="2"/>
  <c r="J9" i="1"/>
  <c r="I445" i="1"/>
  <c r="G641" i="1" s="1"/>
  <c r="J641" i="1" s="1"/>
  <c r="L432" i="1"/>
  <c r="L433" i="1" s="1"/>
  <c r="G637" i="1" s="1"/>
  <c r="J637" i="1" s="1"/>
  <c r="D76" i="2"/>
  <c r="D77" i="2"/>
  <c r="D80" i="2" s="1"/>
  <c r="G135" i="1"/>
  <c r="G139" i="1" s="1"/>
  <c r="C38" i="10" s="1"/>
  <c r="E84" i="2"/>
  <c r="G8" i="2"/>
  <c r="G18" i="2"/>
  <c r="J19" i="1"/>
  <c r="G620" i="1"/>
  <c r="C137" i="2"/>
  <c r="L407" i="1"/>
  <c r="G636" i="1" s="1"/>
  <c r="G624" i="1"/>
  <c r="C22" i="13"/>
  <c r="C140" i="2"/>
  <c r="H139" i="1"/>
  <c r="E77" i="2"/>
  <c r="E80" i="2" s="1"/>
  <c r="E103" i="2" s="1"/>
  <c r="H168" i="1"/>
  <c r="C39" i="10" s="1"/>
  <c r="E90" i="2"/>
  <c r="E102" i="2"/>
  <c r="H111" i="1"/>
  <c r="E61" i="2"/>
  <c r="E62" i="2"/>
  <c r="G623" i="1"/>
  <c r="C35" i="10"/>
  <c r="D55" i="2"/>
  <c r="D62" i="2"/>
  <c r="D103" i="2" s="1"/>
  <c r="J653" i="1"/>
  <c r="L198" i="1"/>
  <c r="G16" i="13"/>
  <c r="K361" i="1"/>
  <c r="G29" i="13"/>
  <c r="L296" i="1"/>
  <c r="L197" i="1"/>
  <c r="L561" i="1"/>
  <c r="J361" i="1"/>
  <c r="L199" i="1"/>
  <c r="L202" i="1"/>
  <c r="L203" i="1"/>
  <c r="L204" i="1"/>
  <c r="L205" i="1"/>
  <c r="L208" i="1"/>
  <c r="C124" i="2" s="1"/>
  <c r="L214" i="1"/>
  <c r="L216" i="1"/>
  <c r="L217" i="1"/>
  <c r="C111" i="2" s="1"/>
  <c r="C114" i="2" s="1"/>
  <c r="L220" i="1"/>
  <c r="L221" i="1"/>
  <c r="L222" i="1"/>
  <c r="L223" i="1"/>
  <c r="L234" i="1"/>
  <c r="L235" i="1"/>
  <c r="L237" i="1"/>
  <c r="L238" i="1"/>
  <c r="L285" i="1"/>
  <c r="L303" i="1"/>
  <c r="L322" i="1"/>
  <c r="L332" i="1"/>
  <c r="E113" i="2"/>
  <c r="F361" i="1"/>
  <c r="H361" i="1"/>
  <c r="I367" i="1"/>
  <c r="K533" i="1"/>
  <c r="L287" i="1"/>
  <c r="L284" i="1"/>
  <c r="L301" i="1"/>
  <c r="L316" i="1"/>
  <c r="L315" i="1"/>
  <c r="L320" i="1"/>
  <c r="L331" i="1"/>
  <c r="C23" i="10"/>
  <c r="G336" i="1"/>
  <c r="K336" i="1"/>
  <c r="E16" i="13"/>
  <c r="C16" i="13"/>
  <c r="L260" i="1"/>
  <c r="K269" i="1"/>
  <c r="L269" i="1" s="1"/>
  <c r="I366" i="1"/>
  <c r="F368" i="1"/>
  <c r="C113" i="2"/>
  <c r="L215" i="1"/>
  <c r="H192" i="1"/>
  <c r="H467" i="1" s="1"/>
  <c r="C36" i="10"/>
  <c r="C41" i="10" s="1"/>
  <c r="J533" i="1"/>
  <c r="I533" i="1"/>
  <c r="L563" i="1"/>
  <c r="G564" i="1"/>
  <c r="I523" i="1"/>
  <c r="H533" i="1"/>
  <c r="J523" i="1"/>
  <c r="L530" i="1"/>
  <c r="H548" i="1"/>
  <c r="L531" i="1"/>
  <c r="H549" i="1"/>
  <c r="L522" i="1"/>
  <c r="F550" i="1"/>
  <c r="G523" i="1"/>
  <c r="H246" i="1"/>
  <c r="G533" i="1"/>
  <c r="I228" i="1"/>
  <c r="B27" i="12"/>
  <c r="I210" i="1"/>
  <c r="J228" i="1"/>
  <c r="F210" i="1"/>
  <c r="K523" i="1"/>
  <c r="C120" i="2"/>
  <c r="C25" i="10"/>
  <c r="C131" i="2"/>
  <c r="G628" i="1"/>
  <c r="J528" i="1"/>
  <c r="H528" i="1"/>
  <c r="L242" i="1"/>
  <c r="L224" i="1"/>
  <c r="G528" i="1"/>
  <c r="L520" i="1"/>
  <c r="F548" i="1" s="1"/>
  <c r="L527" i="1"/>
  <c r="G550" i="1" s="1"/>
  <c r="K550" i="1" s="1"/>
  <c r="K528" i="1"/>
  <c r="K544" i="1" s="1"/>
  <c r="J544" i="1"/>
  <c r="H523" i="1"/>
  <c r="L525" i="1"/>
  <c r="G548" i="1" s="1"/>
  <c r="G551" i="1" s="1"/>
  <c r="F528" i="1"/>
  <c r="F533" i="1"/>
  <c r="L532" i="1"/>
  <c r="L521" i="1"/>
  <c r="F549" i="1"/>
  <c r="F523" i="1"/>
  <c r="F228" i="1"/>
  <c r="K246" i="1"/>
  <c r="I246" i="1"/>
  <c r="L526" i="1"/>
  <c r="G549" i="1"/>
  <c r="I528" i="1"/>
  <c r="I544" i="1"/>
  <c r="J246" i="1"/>
  <c r="J210" i="1"/>
  <c r="K228" i="1"/>
  <c r="G14" i="13"/>
  <c r="L206" i="1"/>
  <c r="G210" i="1"/>
  <c r="G15" i="13"/>
  <c r="K210" i="1"/>
  <c r="G228" i="1"/>
  <c r="F15" i="13"/>
  <c r="F246" i="1"/>
  <c r="L207" i="1"/>
  <c r="H210" i="1"/>
  <c r="G246" i="1"/>
  <c r="L225" i="1"/>
  <c r="G649" i="1" s="1"/>
  <c r="J649" i="1" s="1"/>
  <c r="H228" i="1"/>
  <c r="C122" i="2"/>
  <c r="L243" i="1"/>
  <c r="G650" i="1"/>
  <c r="G648" i="1"/>
  <c r="H604" i="1"/>
  <c r="K602" i="1"/>
  <c r="K604" i="1" s="1"/>
  <c r="G647" i="1" s="1"/>
  <c r="L613" i="1"/>
  <c r="G570" i="1"/>
  <c r="G544" i="1"/>
  <c r="G256" i="1"/>
  <c r="G270" i="1" s="1"/>
  <c r="D17" i="13"/>
  <c r="C17" i="13" s="1"/>
  <c r="L246" i="1"/>
  <c r="D6" i="13"/>
  <c r="C6" i="13"/>
  <c r="C119" i="2"/>
  <c r="C109" i="2"/>
  <c r="C117" i="2"/>
  <c r="C31" i="12"/>
  <c r="L302" i="1"/>
  <c r="C9" i="12"/>
  <c r="C24" i="10"/>
  <c r="G327" i="1"/>
  <c r="F308" i="1"/>
  <c r="E121" i="2"/>
  <c r="L278" i="1"/>
  <c r="F327" i="1"/>
  <c r="B36" i="12"/>
  <c r="E124" i="2"/>
  <c r="E119" i="2"/>
  <c r="L281" i="1"/>
  <c r="K289" i="1"/>
  <c r="E112" i="2"/>
  <c r="K308" i="1"/>
  <c r="L286" i="1"/>
  <c r="L305" i="1"/>
  <c r="G661" i="1"/>
  <c r="L255" i="1"/>
  <c r="K597" i="1"/>
  <c r="G646" i="1" s="1"/>
  <c r="J646" i="1" s="1"/>
  <c r="J650" i="1"/>
  <c r="J648" i="1"/>
  <c r="I662" i="1"/>
  <c r="F570" i="1"/>
  <c r="L564" i="1"/>
  <c r="L570" i="1"/>
  <c r="H544" i="1"/>
  <c r="L543" i="1"/>
  <c r="J551" i="1"/>
  <c r="L533" i="1"/>
  <c r="H550" i="1"/>
  <c r="H551" i="1"/>
  <c r="F544" i="1"/>
  <c r="K549" i="1"/>
  <c r="L528" i="1"/>
  <c r="L523" i="1"/>
  <c r="I361" i="1"/>
  <c r="G633" i="1"/>
  <c r="L357" i="1"/>
  <c r="I368" i="1"/>
  <c r="H633" i="1" s="1"/>
  <c r="J633" i="1" s="1"/>
  <c r="L336" i="1"/>
  <c r="E122" i="2"/>
  <c r="E110" i="2"/>
  <c r="C17" i="10"/>
  <c r="C143" i="2"/>
  <c r="C32" i="10"/>
  <c r="H25" i="13"/>
  <c r="D7" i="13"/>
  <c r="C7" i="13"/>
  <c r="D15" i="13"/>
  <c r="C15" i="13"/>
  <c r="K256" i="1"/>
  <c r="K270" i="1"/>
  <c r="C110" i="2"/>
  <c r="J256" i="1"/>
  <c r="J270" i="1" s="1"/>
  <c r="F256" i="1"/>
  <c r="F270" i="1" s="1"/>
  <c r="C123" i="2"/>
  <c r="H646" i="1"/>
  <c r="D12" i="13"/>
  <c r="C12" i="13" s="1"/>
  <c r="C118" i="2"/>
  <c r="D14" i="13"/>
  <c r="C14" i="13"/>
  <c r="I256" i="1"/>
  <c r="I270" i="1"/>
  <c r="L228" i="1"/>
  <c r="E8" i="13"/>
  <c r="C20" i="10"/>
  <c r="C12" i="10"/>
  <c r="D5" i="13"/>
  <c r="C5" i="13"/>
  <c r="C108" i="2"/>
  <c r="L324" i="1"/>
  <c r="H661" i="1" s="1"/>
  <c r="I661" i="1" s="1"/>
  <c r="J289" i="1"/>
  <c r="L283" i="1"/>
  <c r="L280" i="1"/>
  <c r="L319" i="1"/>
  <c r="J308" i="1"/>
  <c r="C11" i="13"/>
  <c r="E120" i="2"/>
  <c r="C40" i="12"/>
  <c r="I327" i="1"/>
  <c r="I289" i="1"/>
  <c r="L314" i="1"/>
  <c r="C18" i="10"/>
  <c r="H308" i="1"/>
  <c r="K327" i="1"/>
  <c r="G31" i="13"/>
  <c r="G33" i="13" s="1"/>
  <c r="B18" i="12"/>
  <c r="L297" i="1"/>
  <c r="H289" i="1"/>
  <c r="L300" i="1"/>
  <c r="E123" i="2"/>
  <c r="F661" i="1"/>
  <c r="H327" i="1"/>
  <c r="L295" i="1"/>
  <c r="L275" i="1"/>
  <c r="B9" i="12"/>
  <c r="F289" i="1"/>
  <c r="F337" i="1"/>
  <c r="F351" i="1" s="1"/>
  <c r="L299" i="1"/>
  <c r="C21" i="10"/>
  <c r="L313" i="1"/>
  <c r="L544" i="1"/>
  <c r="L361" i="1"/>
  <c r="D126" i="2"/>
  <c r="D127" i="2"/>
  <c r="D144" i="2" s="1"/>
  <c r="F660" i="1"/>
  <c r="G660" i="1"/>
  <c r="D29" i="13"/>
  <c r="C29" i="13" s="1"/>
  <c r="H660" i="1"/>
  <c r="H33" i="13"/>
  <c r="C25" i="13"/>
  <c r="B31" i="12"/>
  <c r="A31" i="12"/>
  <c r="C13" i="12"/>
  <c r="B40" i="12"/>
  <c r="K337" i="1"/>
  <c r="K351" i="1"/>
  <c r="H337" i="1"/>
  <c r="H351" i="1"/>
  <c r="J327" i="1"/>
  <c r="L318" i="1"/>
  <c r="E117" i="2" s="1"/>
  <c r="E127" i="2" s="1"/>
  <c r="I308" i="1"/>
  <c r="I337" i="1" s="1"/>
  <c r="I351" i="1" s="1"/>
  <c r="L294" i="1"/>
  <c r="L308" i="1"/>
  <c r="G659" i="1" s="1"/>
  <c r="G663" i="1" s="1"/>
  <c r="G666" i="1" s="1"/>
  <c r="G308" i="1"/>
  <c r="G337" i="1" s="1"/>
  <c r="E118" i="2"/>
  <c r="C16" i="10"/>
  <c r="B22" i="12"/>
  <c r="G289" i="1"/>
  <c r="C18" i="12"/>
  <c r="A22" i="12" s="1"/>
  <c r="E111" i="2"/>
  <c r="C13" i="10"/>
  <c r="L276" i="1"/>
  <c r="L289" i="1"/>
  <c r="I660" i="1"/>
  <c r="C27" i="10"/>
  <c r="G634" i="1"/>
  <c r="J634" i="1"/>
  <c r="G351" i="1"/>
  <c r="F31" i="13"/>
  <c r="F33" i="13" s="1"/>
  <c r="J337" i="1"/>
  <c r="H647" i="1" s="1"/>
  <c r="J647" i="1" s="1"/>
  <c r="C11" i="10"/>
  <c r="E109" i="2"/>
  <c r="B13" i="12"/>
  <c r="A13" i="12" s="1"/>
  <c r="C10" i="10"/>
  <c r="E108" i="2"/>
  <c r="C15" i="10"/>
  <c r="C28" i="10" s="1"/>
  <c r="C22" i="12"/>
  <c r="J351" i="1"/>
  <c r="A40" i="12"/>
  <c r="C8" i="13"/>
  <c r="H256" i="1"/>
  <c r="H270" i="1" s="1"/>
  <c r="C19" i="10"/>
  <c r="G671" i="1"/>
  <c r="C5" i="10" s="1"/>
  <c r="E13" i="13"/>
  <c r="C13" i="13"/>
  <c r="L210" i="1"/>
  <c r="C121" i="2"/>
  <c r="C127" i="2" s="1"/>
  <c r="C144" i="2" s="1"/>
  <c r="E33" i="13"/>
  <c r="D35" i="13"/>
  <c r="L256" i="1"/>
  <c r="L270" i="1"/>
  <c r="G631" i="1" s="1"/>
  <c r="J631" i="1" s="1"/>
  <c r="F659" i="1"/>
  <c r="F663" i="1" s="1"/>
  <c r="G49" i="2"/>
  <c r="G50" i="2"/>
  <c r="J50" i="1"/>
  <c r="G625" i="1"/>
  <c r="J51" i="1"/>
  <c r="H620" i="1"/>
  <c r="J620" i="1" s="1"/>
  <c r="F671" i="1" l="1"/>
  <c r="C4" i="10" s="1"/>
  <c r="F666" i="1"/>
  <c r="D19" i="10"/>
  <c r="D26" i="10"/>
  <c r="D16" i="10"/>
  <c r="D22" i="10"/>
  <c r="D15" i="10"/>
  <c r="D11" i="10"/>
  <c r="D12" i="10"/>
  <c r="D17" i="10"/>
  <c r="D23" i="10"/>
  <c r="C30" i="10"/>
  <c r="D24" i="10"/>
  <c r="D10" i="10"/>
  <c r="D18" i="10"/>
  <c r="D25" i="10"/>
  <c r="D21" i="10"/>
  <c r="D13" i="10"/>
  <c r="D20" i="10"/>
  <c r="D27" i="10"/>
  <c r="E114" i="2"/>
  <c r="E144" i="2" s="1"/>
  <c r="H628" i="1"/>
  <c r="J628" i="1" s="1"/>
  <c r="H469" i="1"/>
  <c r="H475" i="1" s="1"/>
  <c r="H623" i="1" s="1"/>
  <c r="J623" i="1" s="1"/>
  <c r="D38" i="10"/>
  <c r="F551" i="1"/>
  <c r="K548" i="1"/>
  <c r="K551" i="1" s="1"/>
  <c r="D36" i="10"/>
  <c r="D37" i="10"/>
  <c r="D40" i="10"/>
  <c r="D35" i="10"/>
  <c r="D41" i="10" s="1"/>
  <c r="D39" i="10"/>
  <c r="L327" i="1"/>
  <c r="L337" i="1" s="1"/>
  <c r="L351" i="1" s="1"/>
  <c r="G632" i="1" s="1"/>
  <c r="J632" i="1" s="1"/>
  <c r="H645" i="1"/>
  <c r="G626" i="1"/>
  <c r="J192" i="1"/>
  <c r="J644" i="1"/>
  <c r="J619" i="1"/>
  <c r="H626" i="1"/>
  <c r="F469" i="1"/>
  <c r="F475" i="1" s="1"/>
  <c r="H621" i="1" s="1"/>
  <c r="J621" i="1" s="1"/>
  <c r="J652" i="1"/>
  <c r="J639" i="1"/>
  <c r="G144" i="2"/>
  <c r="I192" i="1"/>
  <c r="G192" i="1"/>
  <c r="J626" i="1" l="1"/>
  <c r="I467" i="1"/>
  <c r="G629" i="1"/>
  <c r="G467" i="1"/>
  <c r="G627" i="1"/>
  <c r="J467" i="1"/>
  <c r="G630" i="1"/>
  <c r="G645" i="1"/>
  <c r="J645" i="1" s="1"/>
  <c r="H659" i="1"/>
  <c r="D31" i="13"/>
  <c r="D28" i="10"/>
  <c r="H663" i="1" l="1"/>
  <c r="I659" i="1"/>
  <c r="I663" i="1" s="1"/>
  <c r="C31" i="13"/>
  <c r="D33" i="13"/>
  <c r="D36" i="13" s="1"/>
  <c r="H630" i="1"/>
  <c r="J630" i="1" s="1"/>
  <c r="H636" i="1"/>
  <c r="J636" i="1" s="1"/>
  <c r="J469" i="1"/>
  <c r="J475" i="1" s="1"/>
  <c r="H625" i="1" s="1"/>
  <c r="J625" i="1" s="1"/>
  <c r="H627" i="1"/>
  <c r="J627" i="1" s="1"/>
  <c r="G469" i="1"/>
  <c r="G475" i="1" s="1"/>
  <c r="H622" i="1" s="1"/>
  <c r="J622" i="1" s="1"/>
  <c r="H629" i="1"/>
  <c r="J629" i="1" s="1"/>
  <c r="I469" i="1"/>
  <c r="I475" i="1" s="1"/>
  <c r="H624" i="1" s="1"/>
  <c r="J624" i="1" s="1"/>
  <c r="H655" i="1" l="1"/>
  <c r="I671" i="1"/>
  <c r="C7" i="10" s="1"/>
  <c r="I666" i="1"/>
  <c r="H671" i="1"/>
  <c r="C6" i="10" s="1"/>
  <c r="H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<sst xmlns="http://schemas.openxmlformats.org/spreadsheetml/2006/main" count="3947" uniqueCount="913">
  <si>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</si>
  <si>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</si>
  <si>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</si>
  <si>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</si>
  <si>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</si>
  <si>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</si>
  <si>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</si>
  <si>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</si>
  <si>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</si>
  <si>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</si>
  <si>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</si>
  <si>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</si>
  <si>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</si>
  <si>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</si>
  <si>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</si>
  <si>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</si>
  <si>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</si>
  <si>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</si>
  <si>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</si>
  <si>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</si>
  <si>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</si>
  <si>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</si>
  <si>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</si>
  <si>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</si>
  <si>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</si>
  <si>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</si>
  <si>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</si>
  <si>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</si>
  <si>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</si>
  <si>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</si>
  <si>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</si>
  <si>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</si>
  <si>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</si>
  <si>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</si>
  <si>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</si>
  <si>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</si>
  <si>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</si>
  <si>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</si>
  <si>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</si>
  <si>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</si>
  <si>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</si>
  <si>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</si>
  <si>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</si>
  <si>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</si>
  <si>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</si>
  <si>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</si>
  <si>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</si>
  <si>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</si>
  <si>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</si>
  <si>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</si>
  <si>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</si>
  <si>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</si>
  <si>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</si>
  <si>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</si>
  <si>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</si>
  <si>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</si>
  <si>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</si>
  <si>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</si>
  <si>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</si>
  <si>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</si>
  <si>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</si>
  <si>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</si>
  <si>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</si>
  <si>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</si>
  <si>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</si>
  <si>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</si>
  <si>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</si>
  <si>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</si>
  <si>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</si>
  <si>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</si>
  <si>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</si>
  <si>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</si>
  <si>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</si>
  <si>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</si>
  <si>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</si>
  <si>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</si>
  <si>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</si>
  <si>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</si>
  <si>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</si>
  <si>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</si>
  <si>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</si>
  <si>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</si>
  <si>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</si>
  <si>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</si>
  <si>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</si>
  <si>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</si>
  <si>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</si>
  <si>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</si>
  <si>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</si>
  <si>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</si>
  <si>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</si>
  <si>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</si>
  <si>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</si>
  <si>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</si>
  <si>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</si>
  <si>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</si>
  <si>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</si>
  <si>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</si>
  <si>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</si>
  <si>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</si>
  <si>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</si>
  <si>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</si>
  <si>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</si>
  <si>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</si>
  <si>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</si>
  <si>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</si>
  <si>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</si>
  <si>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</si>
  <si>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</si>
  <si>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</si>
  <si>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</si>
  <si>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</si>
  <si>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</si>
  <si>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</si>
  <si>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</si>
  <si>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</si>
  <si>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</si>
  <si>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</si>
  <si>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</si>
  <si>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</si>
  <si>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</si>
  <si>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</si>
  <si>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</si>
  <si>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</si>
  <si>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</si>
  <si>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</si>
  <si>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</si>
  <si>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</si>
  <si>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</si>
  <si>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</si>
  <si>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</si>
  <si>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</si>
  <si>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</si>
  <si>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</si>
  <si>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</si>
  <si>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</si>
  <si>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</si>
  <si>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</si>
  <si>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</si>
  <si>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</si>
  <si>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</si>
  <si>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</si>
  <si>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</si>
  <si>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</si>
  <si>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</si>
  <si>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</si>
  <si>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</si>
  <si>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</si>
  <si>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</si>
  <si>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</si>
  <si>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</si>
  <si>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</si>
  <si>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</si>
  <si>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</si>
  <si>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</si>
  <si>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</si>
  <si>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</si>
  <si>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</si>
  <si>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</si>
  <si>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</si>
  <si>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</si>
  <si>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</si>
  <si>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</si>
  <si>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</si>
  <si>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</si>
  <si>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</si>
  <si>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</si>
  <si>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</si>
  <si>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</si>
  <si>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</si>
  <si>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</si>
  <si>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</si>
  <si>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</si>
  <si>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</si>
  <si>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</si>
  <si>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</si>
  <si>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</si>
  <si>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</si>
  <si>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</si>
  <si>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</si>
  <si>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</si>
  <si>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</si>
  <si>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</si>
  <si>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</si>
  <si>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</si>
  <si>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</si>
  <si>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</si>
  <si>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</si>
  <si>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</si>
  <si>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</si>
  <si>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</si>
  <si>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</si>
  <si>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</si>
  <si>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</si>
  <si>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</si>
  <si>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</si>
  <si>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</si>
  <si>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</si>
  <si>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</si>
  <si>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</si>
  <si>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</si>
  <si>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</si>
  <si>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</si>
  <si>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</si>
  <si>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</si>
  <si>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</si>
  <si>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</si>
  <si>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</si>
  <si>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</si>
  <si>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</si>
  <si>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</si>
  <si>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</si>
  <si>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</si>
  <si>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</si>
  <si>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</si>
  <si>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</si>
  <si>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</si>
  <si>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</si>
  <si>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</si>
  <si>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</si>
  <si>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</si>
  <si>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</si>
  <si>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</si>
  <si>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</si>
  <si>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</si>
  <si>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</si>
  <si>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</si>
  <si>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</si>
  <si>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</si>
  <si>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</si>
  <si>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</si>
  <si>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</si>
  <si>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</si>
  <si>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</si>
  <si>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</si>
  <si>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</si>
  <si>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</si>
  <si>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</si>
  <si>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</si>
  <si>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</si>
  <si>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</si>
  <si>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</si>
  <si>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</si>
  <si>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</si>
  <si>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</si>
  <si>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</si>
  <si>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</si>
  <si>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</si>
  <si>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</si>
  <si>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</si>
  <si>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</si>
  <si>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</si>
  <si>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</si>
  <si>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</si>
  <si>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</si>
  <si>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</si>
  <si>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</si>
  <si>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</si>
  <si>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</si>
  <si>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</si>
  <si>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</si>
  <si>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</si>
  <si>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</si>
  <si>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</si>
  <si>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</si>
  <si>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</si>
  <si>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</si>
  <si>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</si>
  <si>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</si>
  <si>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</si>
  <si>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</si>
  <si>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</si>
  <si>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</si>
  <si>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</si>
  <si>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</si>
  <si>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</si>
  <si>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</si>
  <si>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</si>
  <si>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</si>
  <si>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</si>
  <si>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</si>
  <si>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</si>
  <si>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</si>
  <si>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</si>
  <si>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</si>
  <si>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</si>
  <si>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</si>
  <si>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</si>
  <si>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</si>
  <si>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</si>
  <si>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</si>
  <si>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</si>
  <si>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</si>
  <si>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</si>
  <si>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</si>
  <si>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</si>
  <si>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</si>
  <si>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</si>
  <si>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</si>
  <si>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</si>
  <si>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</si>
  <si>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</si>
  <si>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</si>
  <si>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</si>
  <si>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</si>
  <si>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</si>
  <si>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</si>
  <si>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</si>
  <si>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</si>
  <si>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</si>
  <si>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</si>
  <si>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</si>
  <si>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</si>
  <si>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</si>
  <si>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</si>
  <si>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</si>
  <si>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</si>
  <si>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</si>
  <si>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</si>
  <si>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</si>
  <si>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</si>
  <si>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</si>
  <si>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</si>
  <si>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</si>
  <si>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</si>
  <si>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</si>
  <si>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</si>
  <si>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</si>
  <si>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</si>
  <si>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</si>
  <si>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</si>
  <si>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</si>
  <si>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</si>
  <si>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</si>
  <si>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</si>
  <si>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</si>
  <si>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</si>
  <si>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</si>
  <si>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</si>
  <si>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</si>
  <si>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</si>
  <si>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</si>
  <si>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</si>
  <si>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</si>
  <si>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</si>
  <si>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</si>
  <si>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</si>
  <si>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</si>
  <si>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</si>
  <si>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</si>
  <si>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</si>
  <si>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</si>
  <si>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</si>
  <si>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</si>
  <si>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</si>
  <si>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</si>
  <si>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</si>
  <si>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</si>
  <si>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</si>
  <si>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</si>
  <si>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</si>
  <si>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</si>
  <si>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</si>
  <si>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</si>
  <si>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</si>
  <si>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</si>
  <si>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</si>
  <si>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</si>
  <si>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</si>
  <si>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</si>
  <si>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</si>
  <si>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</si>
  <si>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</si>
  <si>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</si>
  <si>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</si>
  <si>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</si>
  <si>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</si>
  <si>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</si>
  <si>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</si>
  <si>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</si>
  <si>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</si>
  <si>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</si>
  <si>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</si>
  <si>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</si>
  <si>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</si>
  <si>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</si>
  <si>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</si>
  <si>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</si>
  <si>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</si>
  <si>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</si>
  <si>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</si>
  <si>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</si>
  <si>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</si>
  <si>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</si>
  <si>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</si>
  <si>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</si>
  <si>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</si>
  <si>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</si>
  <si>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</si>
  <si>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</si>
  <si>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</si>
  <si>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</si>
  <si>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</si>
  <si>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</si>
  <si>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</si>
  <si>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</si>
  <si>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</si>
  <si>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</si>
  <si>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</si>
  <si>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</si>
  <si>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</si>
  <si>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</si>
  <si>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</si>
  <si>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</si>
  <si>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</si>
  <si>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</si>
  <si>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</si>
  <si>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</si>
  <si>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</si>
  <si>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</si>
  <si>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</si>
  <si>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</si>
  <si>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</si>
  <si>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</si>
  <si>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</si>
  <si>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</si>
  <si>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</si>
  <si>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</si>
  <si>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</si>
  <si>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</si>
  <si>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</si>
  <si>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</si>
  <si>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</si>
  <si>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</si>
  <si>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</si>
  <si>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</si>
  <si>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</si>
  <si>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</si>
  <si>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</si>
  <si>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</si>
  <si>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</si>
  <si>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</si>
  <si>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</si>
  <si>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</si>
  <si>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</si>
  <si>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</si>
  <si>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</si>
  <si>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</si>
  <si>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</si>
  <si>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</si>
  <si>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</si>
  <si>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</si>
  <si>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</si>
  <si>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</si>
  <si>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</si>
  <si>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</si>
  <si>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</si>
  <si>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</si>
  <si>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</si>
  <si>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</si>
  <si>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</si>
  <si>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</si>
  <si>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</si>
  <si>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</si>
  <si>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</si>
  <si>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</si>
  <si>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</si>
  <si>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</si>
  <si>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</si>
  <si>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</si>
  <si>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</si>
  <si>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</si>
  <si>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</si>
  <si>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</si>
  <si>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</si>
  <si>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</si>
  <si>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</si>
  <si>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</si>
  <si>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</si>
  <si>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</si>
  <si>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</si>
  <si>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</si>
  <si>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</si>
  <si>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</si>
  <si>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</si>
  <si>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</si>
  <si>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</si>
  <si>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</si>
  <si>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</si>
  <si>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</si>
  <si>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</si>
  <si>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</si>
  <si>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</si>
  <si>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</si>
  <si>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</si>
  <si>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</si>
  <si>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</si>
  <si>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</si>
  <si>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</si>
  <si>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</si>
  <si>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</si>
  <si>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</si>
  <si>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</si>
  <si>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</si>
  <si>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</si>
  <si>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</si>
  <si>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</si>
  <si>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</si>
  <si>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</si>
  <si>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</si>
  <si>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</si>
  <si>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</si>
  <si>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</si>
  <si>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</si>
  <si>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</si>
  <si>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</si>
  <si>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</si>
  <si>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</si>
  <si>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</si>
  <si>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</si>
  <si>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</si>
  <si>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</si>
  <si>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</si>
  <si>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</si>
  <si>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</si>
  <si>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</si>
  <si>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</si>
  <si>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</si>
  <si>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</si>
  <si>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</si>
  <si>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</si>
  <si>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</si>
  <si>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</si>
  <si>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</si>
  <si>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</si>
  <si>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</si>
  <si>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</si>
  <si>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</si>
  <si>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</si>
  <si>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</si>
  <si>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</si>
  <si>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</si>
  <si>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</si>
  <si>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</si>
  <si>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</si>
  <si>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</si>
  <si>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</si>
  <si>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</si>
  <si>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</si>
  <si>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</si>
  <si>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</si>
  <si>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</si>
  <si>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</si>
  <si>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</si>
  <si>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</si>
  <si>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</si>
  <si>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</si>
  <si>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</si>
  <si>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</si>
  <si>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</si>
  <si>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</si>
  <si>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</si>
  <si>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</si>
  <si>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</si>
  <si>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</si>
  <si>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</si>
  <si>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</si>
  <si>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</si>
  <si>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</si>
  <si>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</si>
  <si>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</si>
  <si>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</si>
  <si>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</si>
  <si>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</si>
  <si>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</si>
  <si>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</si>
  <si>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</si>
  <si>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</si>
  <si>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</si>
  <si>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</si>
  <si>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</si>
  <si>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</si>
  <si>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</si>
  <si>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</si>
  <si>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</si>
  <si>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</si>
  <si>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</si>
  <si>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</si>
  <si>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</si>
  <si>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</si>
  <si>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</si>
  <si>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</si>
  <si>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</si>
  <si>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</si>
  <si>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</si>
  <si>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</si>
  <si>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</si>
  <si>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</si>
  <si>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</si>
  <si>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</si>
  <si>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</si>
  <si>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</si>
  <si>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</si>
  <si>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</si>
  <si>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</si>
  <si>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</si>
  <si>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</si>
  <si>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</si>
  <si>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</si>
  <si>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</si>
  <si>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</si>
  <si>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</si>
  <si>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</si>
  <si>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</si>
  <si>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</si>
  <si>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</si>
  <si>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</si>
  <si>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</si>
  <si>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</si>
  <si>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</si>
  <si>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</si>
  <si>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</si>
  <si>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</si>
  <si>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</si>
  <si>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</si>
  <si>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</si>
  <si>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</si>
  <si>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</si>
  <si>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</si>
  <si>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</si>
  <si>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</si>
  <si>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</si>
  <si>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</si>
  <si>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</si>
  <si>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</si>
  <si>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</si>
  <si>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</si>
  <si>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</si>
  <si>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</si>
  <si>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</si>
  <si>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</si>
  <si>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</si>
  <si>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</si>
  <si>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</si>
  <si>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</si>
  <si>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</si>
  <si>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</si>
  <si>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</si>
  <si>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</si>
  <si>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</si>
  <si>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</si>
  <si>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</si>
  <si>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</si>
  <si>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</si>
  <si>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</si>
  <si>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</si>
  <si>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</si>
  <si>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</si>
  <si>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</si>
  <si>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</si>
  <si>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</si>
  <si>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</si>
  <si>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</si>
  <si>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</si>
  <si>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</si>
  <si>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</si>
  <si>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</si>
  <si>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</si>
  <si>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</si>
  <si>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</si>
  <si>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</si>
  <si>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</si>
  <si>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</si>
  <si>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</si>
  <si>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</si>
  <si>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</si>
  <si>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</si>
  <si>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</si>
  <si>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</si>
  <si>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</si>
  <si>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</si>
  <si>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</si>
  <si>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</si>
  <si>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</si>
  <si>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</si>
  <si>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</si>
  <si>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</si>
  <si>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</si>
  <si>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</si>
  <si>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</si>
  <si>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</si>
  <si>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</si>
  <si>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</si>
  <si>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</si>
  <si>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</si>
  <si>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</si>
  <si>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</si>
  <si>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</si>
  <si>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</si>
  <si>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</si>
  <si>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</si>
  <si>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</si>
  <si>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</si>
  <si>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</si>
  <si>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</si>
  <si>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</si>
  <si>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</si>
  <si>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</si>
  <si>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</si>
  <si>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</si>
  <si>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</si>
  <si>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</si>
  <si>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</si>
  <si>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</si>
  <si>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</si>
  <si>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</si>
  <si>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</si>
  <si>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</si>
  <si>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</si>
  <si>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</si>
  <si>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</si>
  <si>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</si>
  <si>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</si>
  <si>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</si>
  <si>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</si>
  <si>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</si>
  <si>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</si>
  <si>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</si>
  <si>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</si>
  <si>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</si>
  <si>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</si>
  <si>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</si>
  <si>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</si>
  <si>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</si>
  <si>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</si>
  <si>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</si>
  <si>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</si>
  <si>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</si>
  <si>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</si>
  <si>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</si>
  <si>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</si>
  <si>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</si>
  <si>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</si>
  <si>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</si>
  <si>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</si>
  <si>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</si>
  <si>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</si>
  <si>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</si>
  <si>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</si>
  <si>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</si>
  <si>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</si>
  <si>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</si>
  <si>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</si>
  <si>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</si>
  <si>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</si>
  <si>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</si>
  <si>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</si>
  <si>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</si>
  <si>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</si>
  <si>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</si>
  <si>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</si>
  <si>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</si>
  <si>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</si>
  <si>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</si>
  <si>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</si>
  <si>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</si>
  <si>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</si>
  <si>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</si>
  <si>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</si>
  <si>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</si>
  <si>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</si>
  <si>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</si>
  <si>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</si>
  <si>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</si>
  <si>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</si>
  <si>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</si>
  <si>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</si>
  <si>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</si>
  <si>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</si>
  <si>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</si>
  <si>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</si>
  <si>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</si>
  <si>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</si>
  <si>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</si>
  <si>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</si>
  <si>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</si>
  <si>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</si>
  <si>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</si>
  <si>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</si>
  <si>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</si>
  <si>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</si>
  <si>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</si>
  <si>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</si>
  <si>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</si>
  <si>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</si>
  <si>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</si>
  <si>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</si>
  <si>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</si>
  <si>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</si>
  <si>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</si>
  <si>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</si>
  <si>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</si>
  <si>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</si>
  <si>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</si>
  <si>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</si>
  <si>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</si>
  <si>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</si>
  <si>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</si>
  <si>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</si>
  <si>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</si>
  <si>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</si>
  <si>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</si>
  <si>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</si>
  <si>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</si>
  <si>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</si>
  <si>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</si>
  <si>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</si>
  <si>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</si>
  <si>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</si>
  <si>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</si>
  <si>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</si>
  <si>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</si>
  <si>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</si>
  <si>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</si>
  <si>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</si>
  <si>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</si>
  <si>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</si>
  <si>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</si>
  <si>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</si>
  <si>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</si>
  <si>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</si>
  <si>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</si>
  <si>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</si>
  <si>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</si>
  <si>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</si>
  <si>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</si>
  <si>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</si>
  <si>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</si>
  <si>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</si>
  <si>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</si>
  <si>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</si>
  <si>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</si>
  <si>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</si>
  <si>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</si>
  <si>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</si>
  <si>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</si>
  <si>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</si>
  <si>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</si>
  <si>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</si>
  <si>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</si>
  <si>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</si>
  <si>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</si>
  <si>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</si>
  <si>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</si>
  <si>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</si>
  <si>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</si>
  <si>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</si>
  <si>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</si>
  <si>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</si>
  <si>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</si>
  <si>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</si>
  <si>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</si>
  <si>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</si>
  <si>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</si>
  <si>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</si>
  <si>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</si>
  <si>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</si>
  <si>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</si>
  <si>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</si>
  <si>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</si>
  <si>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</si>
  <si>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</si>
  <si>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</si>
  <si>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</si>
  <si>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</si>
  <si>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</si>
  <si>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</si>
  <si>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</si>
  <si>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</si>
  <si>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</si>
  <si>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</si>
  <si>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</si>
  <si>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</si>
  <si>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</si>
  <si>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</si>
  <si>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</si>
  <si>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</si>
  <si>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</si>
  <si>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</si>
  <si>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</si>
  <si>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</si>
  <si>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</si>
  <si>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</si>
  <si>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</si>
  <si>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</si>
  <si>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</si>
  <si>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</si>
  <si>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</si>
  <si>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</si>
  <si>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</si>
  <si>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</si>
  <si>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</si>
  <si>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</si>
  <si>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</si>
  <si>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</si>
  <si>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</si>
  <si>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</si>
  <si>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</si>
  <si>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</si>
  <si>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SCHOLARSHIP FUNDS</t>
  </si>
  <si>
    <t>*SEE SUPPLEMENTAL SCHEDULE*</t>
  </si>
  <si>
    <t>Nashua School District</t>
  </si>
  <si>
    <t>$6.95 Million is for New Issue Bonds and the remaining amount of $20.84 Million is for Refunding Bonds.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</si>
</sst>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6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5" t="s">
        <v>911</v>
      </c>
      <c r="B2" s="21">
        <v>371</v>
      </c>
      <c r="C2" s="21">
        <v>371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/>
      <c r="G9" s="18"/>
      <c r="H9" s="18"/>
      <c r="I9" s="18"/>
      <c r="J9" s="66">
        <f>SUM(I438)</f>
        <v>6070614.709999999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6">
        <f>SUM(I439)</f>
        <v>4485047.6500000004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f>254388.22-9296.59</f>
        <v>245091.63</v>
      </c>
      <c r="H12" s="18"/>
      <c r="I12" s="18">
        <v>1559237.57</v>
      </c>
      <c r="J12" s="66">
        <f>SUM(I440)</f>
        <v>242447.37000000002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f>130164.07+9296.59</f>
        <v>139460.66</v>
      </c>
      <c r="H13" s="18">
        <v>3651423.85</v>
      </c>
      <c r="I13" s="18"/>
      <c r="J13" s="66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>
        <f>195000+260.93</f>
        <v>195260.93</v>
      </c>
      <c r="I14" s="18"/>
      <c r="J14" s="66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6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4"/>
      <c r="I18" s="18"/>
      <c r="J18" s="66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0</v>
      </c>
      <c r="G19" s="41">
        <f>SUM(G9:G18)</f>
        <v>384552.29000000004</v>
      </c>
      <c r="H19" s="41">
        <f>SUM(H9:H18)</f>
        <v>3846684.7800000003</v>
      </c>
      <c r="I19" s="41">
        <f>SUM(I9:I18)</f>
        <v>1559237.57</v>
      </c>
      <c r="J19" s="41">
        <f>SUM(J9:J18)</f>
        <v>10798109.729999999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8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1854129.77</v>
      </c>
      <c r="I22" s="18"/>
      <c r="J22" s="66">
        <f>SUM(I447)</f>
        <v>9647.2000000000007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6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>
        <v>4297.84</v>
      </c>
      <c r="I24" s="18">
        <v>16802</v>
      </c>
      <c r="J24" s="66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4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103856.9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6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0</v>
      </c>
      <c r="H32" s="41">
        <f>SUM(H22:H31)</f>
        <v>1962284.51</v>
      </c>
      <c r="I32" s="41">
        <f>SUM(I22:I31)</f>
        <v>16802</v>
      </c>
      <c r="J32" s="41">
        <f>SUM(J22:J31)</f>
        <v>9647.2000000000007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f>365588.46+18963.83</f>
        <v>384552.29000000004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f>2208188.07-665752.5</f>
        <v>1542435.5699999998</v>
      </c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f>ROUND(1474935.24+183847.34,2)</f>
        <v>1658782.58</v>
      </c>
      <c r="I47" s="18"/>
      <c r="J47" s="13">
        <f>SUM(I458)</f>
        <v>10787658.809999999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>
        <f>ROUND(225617.69,2)</f>
        <v>225617.69</v>
      </c>
      <c r="I48" s="18"/>
      <c r="J48" s="13">
        <f>I453</f>
        <v>803.72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0">
        <v>34</v>
      </c>
      <c r="D49" s="2" t="s">
        <v>657</v>
      </c>
      <c r="E49" s="6">
        <v>770</v>
      </c>
      <c r="F49" s="18"/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0</v>
      </c>
      <c r="G50" s="41">
        <f>SUM(G35:G49)</f>
        <v>384552.29000000004</v>
      </c>
      <c r="H50" s="41">
        <f>SUM(H35:H49)</f>
        <v>1884400.27</v>
      </c>
      <c r="I50" s="41">
        <f>SUM(I35:I49)</f>
        <v>1542435.5699999998</v>
      </c>
      <c r="J50" s="41">
        <f>SUM(J35:J49)</f>
        <v>10788462.529999999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0</v>
      </c>
      <c r="G51" s="41">
        <f>G50+G32</f>
        <v>384552.29000000004</v>
      </c>
      <c r="H51" s="41">
        <f>H50+H32</f>
        <v>3846684.7800000003</v>
      </c>
      <c r="I51" s="41">
        <f>I50+I32</f>
        <v>1559237.5699999998</v>
      </c>
      <c r="J51" s="41">
        <f>J50+J32</f>
        <v>10798109.729999999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75087282.930000007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75087282.930000007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81949.91</v>
      </c>
      <c r="G62" s="24" t="s">
        <v>289</v>
      </c>
      <c r="H62" s="18">
        <f>(190342.56+296812.48)*0+487155.04</f>
        <v>487155.04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>
        <v>22922.5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>
        <v>78910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>
        <v>66882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>
        <v>321281.69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81949.91</v>
      </c>
      <c r="G78" s="45" t="s">
        <v>289</v>
      </c>
      <c r="H78" s="41">
        <f>SUM(H62:H77)</f>
        <v>977151.23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69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88339.85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88339.85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>
        <v>369.05</v>
      </c>
      <c r="H95" s="18"/>
      <c r="I95" s="18"/>
      <c r="J95" s="18">
        <f>14663.93+134801.51+51226.47-125093.72</f>
        <v>75598.19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2240688.08+23592.55</f>
        <v>2264280.63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>
        <f>(43345+4334.12+49374.5+157060+22764.06)*0+276877.68</f>
        <v>276877.68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>
        <v>129864.93</v>
      </c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>
        <v>200000</v>
      </c>
      <c r="J101" s="18">
        <f>140030.63+1150+15659</f>
        <v>156839.63</v>
      </c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123950.74+45269.34</f>
        <v>169220.08000000002</v>
      </c>
      <c r="G109" s="18"/>
      <c r="H109" s="18"/>
      <c r="I109" s="18"/>
      <c r="J109" s="18">
        <v>15.91</v>
      </c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169220.08000000002</v>
      </c>
      <c r="G110" s="41">
        <f>SUM(G95:G109)</f>
        <v>2264649.6799999997</v>
      </c>
      <c r="H110" s="41">
        <f>SUM(H95:H109)</f>
        <v>406742.61</v>
      </c>
      <c r="I110" s="41">
        <f>SUM(I95:I109)</f>
        <v>200000</v>
      </c>
      <c r="J110" s="41">
        <f>SUM(J95:J109)</f>
        <v>232453.73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75426792.769999996</v>
      </c>
      <c r="G111" s="41">
        <f>G59+G110</f>
        <v>2264649.6799999997</v>
      </c>
      <c r="H111" s="41">
        <f>H59+H78+H93+H110</f>
        <v>1383893.8399999999</v>
      </c>
      <c r="I111" s="41">
        <f>I59+I110</f>
        <v>200000</v>
      </c>
      <c r="J111" s="41">
        <f>J59+J110</f>
        <v>232453.73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35967808.280000001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19636751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31163.72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55635723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2738169.82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362061.59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f>145134.74+6584.19</f>
        <v>151718.93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2488.9299999999998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>
        <f>ROUND(145325.95,2)</f>
        <v>145325.95000000001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f>74414.94+156847.46</f>
        <v>231262.4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>
        <f>ROUND(4650,2)</f>
        <v>4650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>
        <f>ROUND(75+243.54,2)</f>
        <v>318.54000000000002</v>
      </c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3254439.27</v>
      </c>
      <c r="G135" s="41">
        <f>SUM(G122:G134)</f>
        <v>231262.4</v>
      </c>
      <c r="H135" s="41">
        <f>SUM(H122:H134)</f>
        <v>150294.49000000002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58890162.270000003</v>
      </c>
      <c r="G139" s="41">
        <f>G120+SUM(G135:G136)</f>
        <v>231262.4</v>
      </c>
      <c r="H139" s="41">
        <f>H120+SUM(H135:H138)</f>
        <v>150294.49000000002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69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f>ROUND(378551.6,2)</f>
        <v>378551.6</v>
      </c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ROUND(5186659.18,2)</f>
        <v>5186659.18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ROUND(1711698.07,2)</f>
        <v>1711698.07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f>ROUND(327761.01,2)</f>
        <v>327761.01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2574979.31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ROUND(3067321.1,2)</f>
        <v>3067321.1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1101954.96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f>ROUND(1959+34033.61,2)</f>
        <v>35992.61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1101954.96</v>
      </c>
      <c r="G161" s="41">
        <f>SUM(G149:G160)</f>
        <v>2574979.31</v>
      </c>
      <c r="H161" s="41">
        <f>SUM(H149:H160)</f>
        <v>10707983.569999998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1101954.96</v>
      </c>
      <c r="G168" s="41">
        <f>G146+G161+SUM(G162:G167)</f>
        <v>2574979.31</v>
      </c>
      <c r="H168" s="41">
        <f>H146+H161+SUM(H162:H167)</f>
        <v>10707983.569999998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69"/>
      <c r="B169" s="36"/>
      <c r="C169" s="74"/>
      <c r="D169" s="74"/>
      <c r="E169" s="74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>
        <v>6950000</v>
      </c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6950000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100000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>
        <v>128112.06</v>
      </c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228112.06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75000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75000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5" t="s">
        <v>431</v>
      </c>
      <c r="E191" s="51">
        <v>5000</v>
      </c>
      <c r="F191" s="41">
        <f>F176+F182+SUM(F187:F190)</f>
        <v>75000</v>
      </c>
      <c r="G191" s="41">
        <f>G182+SUM(G187:G190)</f>
        <v>0</v>
      </c>
      <c r="H191" s="41">
        <f>+H182+SUM(H187:H190)</f>
        <v>0</v>
      </c>
      <c r="I191" s="41">
        <f>I176+I182+SUM(I187:I190)</f>
        <v>6950000</v>
      </c>
      <c r="J191" s="41">
        <f>J182</f>
        <v>228112.06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6" t="s">
        <v>431</v>
      </c>
      <c r="E192" s="44"/>
      <c r="F192" s="47">
        <f>F111+F139+F168+F191</f>
        <v>135493910</v>
      </c>
      <c r="G192" s="47">
        <f>G111+G139+G168+G191</f>
        <v>5070891.3899999997</v>
      </c>
      <c r="H192" s="47">
        <f>H111+H139+H168+H191</f>
        <v>12242171.899999999</v>
      </c>
      <c r="I192" s="47">
        <f>I111+I139+I168+I191</f>
        <v>7150000</v>
      </c>
      <c r="J192" s="47">
        <f>J111+J139+J191</f>
        <v>460565.79000000004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6" t="s">
        <v>693</v>
      </c>
      <c r="G193" s="176" t="s">
        <v>694</v>
      </c>
      <c r="H193" s="176" t="s">
        <v>695</v>
      </c>
      <c r="I193" s="176" t="s">
        <v>696</v>
      </c>
      <c r="J193" s="176" t="s">
        <v>697</v>
      </c>
      <c r="K193" s="176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2" t="s">
        <v>54</v>
      </c>
      <c r="G194" s="102" t="s">
        <v>55</v>
      </c>
      <c r="H194" s="102" t="s">
        <v>56</v>
      </c>
      <c r="I194" s="102" t="s">
        <v>57</v>
      </c>
      <c r="J194" s="102" t="s">
        <v>58</v>
      </c>
      <c r="K194" s="102" t="s">
        <v>59</v>
      </c>
      <c r="L194" s="102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16611333.84</v>
      </c>
      <c r="G196" s="18">
        <v>5960569.3399999999</v>
      </c>
      <c r="H196" s="18">
        <v>180402.64</v>
      </c>
      <c r="I196" s="18">
        <v>334606.21999999997</v>
      </c>
      <c r="J196" s="18">
        <v>22084.01</v>
      </c>
      <c r="K196" s="18">
        <v>2747.95</v>
      </c>
      <c r="L196" s="19">
        <f>SUM(F196:K196)</f>
        <v>23111744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7096458.3600000003</v>
      </c>
      <c r="G197" s="18">
        <v>2656768.0099999998</v>
      </c>
      <c r="H197" s="18">
        <v>343738.44</v>
      </c>
      <c r="I197" s="18">
        <v>27811.23</v>
      </c>
      <c r="J197" s="18">
        <v>0</v>
      </c>
      <c r="K197" s="18">
        <v>0</v>
      </c>
      <c r="L197" s="19">
        <f>SUM(F197:K197)</f>
        <v>10124776.040000001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61262.5</v>
      </c>
      <c r="G199" s="18">
        <v>22935.42</v>
      </c>
      <c r="H199" s="18">
        <v>649.69000000000005</v>
      </c>
      <c r="I199" s="18">
        <v>9720.6200000000008</v>
      </c>
      <c r="J199" s="18">
        <v>0</v>
      </c>
      <c r="K199" s="18">
        <v>0</v>
      </c>
      <c r="L199" s="19">
        <f>SUM(F199:K199)</f>
        <v>94568.23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2825510.55</v>
      </c>
      <c r="G201" s="18">
        <v>1057813.03</v>
      </c>
      <c r="H201" s="18">
        <v>384999.96</v>
      </c>
      <c r="I201" s="18">
        <v>18331.25</v>
      </c>
      <c r="J201" s="18">
        <v>488.67</v>
      </c>
      <c r="K201" s="18">
        <v>0</v>
      </c>
      <c r="L201" s="19">
        <f t="shared" ref="L201:L207" si="0">SUM(F201:K201)</f>
        <v>4287143.46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1085973.96</v>
      </c>
      <c r="G202" s="18">
        <v>400868.81</v>
      </c>
      <c r="H202" s="18">
        <v>78792.91</v>
      </c>
      <c r="I202" s="18">
        <v>167099.1</v>
      </c>
      <c r="J202" s="18">
        <v>503006.74</v>
      </c>
      <c r="K202" s="18">
        <v>40469.07</v>
      </c>
      <c r="L202" s="19">
        <f t="shared" si="0"/>
        <v>2276210.59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829443.84</v>
      </c>
      <c r="G203" s="18">
        <v>327663.71999999997</v>
      </c>
      <c r="H203" s="18">
        <v>222804.56</v>
      </c>
      <c r="I203" s="18">
        <v>10835.31</v>
      </c>
      <c r="J203" s="18">
        <v>5698.83</v>
      </c>
      <c r="K203" s="18">
        <v>141100.56</v>
      </c>
      <c r="L203" s="19">
        <f t="shared" si="0"/>
        <v>1537546.8200000003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2458465.48</v>
      </c>
      <c r="G204" s="18">
        <v>915364.01</v>
      </c>
      <c r="H204" s="18">
        <v>3436.4</v>
      </c>
      <c r="I204" s="18">
        <v>18187.18</v>
      </c>
      <c r="J204" s="18">
        <v>507.1</v>
      </c>
      <c r="K204" s="18">
        <v>0</v>
      </c>
      <c r="L204" s="19">
        <f t="shared" si="0"/>
        <v>3395960.1700000004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264724.11</v>
      </c>
      <c r="G205" s="18">
        <v>85412.85</v>
      </c>
      <c r="H205" s="18">
        <v>8800.31</v>
      </c>
      <c r="I205" s="18">
        <v>0</v>
      </c>
      <c r="J205" s="18">
        <v>0</v>
      </c>
      <c r="K205" s="18"/>
      <c r="L205" s="19">
        <f t="shared" si="0"/>
        <v>358937.26999999996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2190399.4900000002</v>
      </c>
      <c r="G206" s="18">
        <v>820040.5</v>
      </c>
      <c r="H206" s="18">
        <v>1927807.93</v>
      </c>
      <c r="I206" s="18">
        <v>338823.44</v>
      </c>
      <c r="J206" s="18">
        <v>18159.810000000001</v>
      </c>
      <c r="K206" s="18">
        <v>9712.2199999999993</v>
      </c>
      <c r="L206" s="19">
        <f t="shared" si="0"/>
        <v>5304943.3899999997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34506.93</v>
      </c>
      <c r="G207" s="18">
        <v>12918.68</v>
      </c>
      <c r="H207" s="18">
        <v>1584382.18</v>
      </c>
      <c r="I207" s="18">
        <v>0</v>
      </c>
      <c r="J207" s="18">
        <v>0</v>
      </c>
      <c r="K207" s="18">
        <v>0</v>
      </c>
      <c r="L207" s="19">
        <f t="shared" si="0"/>
        <v>1631807.79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136356.12</v>
      </c>
      <c r="G208" s="18">
        <v>51048.93</v>
      </c>
      <c r="H208" s="18">
        <v>57266.31</v>
      </c>
      <c r="I208" s="18">
        <v>0</v>
      </c>
      <c r="J208" s="18">
        <v>0</v>
      </c>
      <c r="K208" s="18">
        <v>0</v>
      </c>
      <c r="L208" s="19">
        <f>SUM(F208:K208)</f>
        <v>244671.35999999999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33594435.18</v>
      </c>
      <c r="G210" s="41">
        <f t="shared" si="1"/>
        <v>12311403.299999999</v>
      </c>
      <c r="H210" s="41">
        <f t="shared" si="1"/>
        <v>4793081.3299999991</v>
      </c>
      <c r="I210" s="41">
        <f t="shared" si="1"/>
        <v>925414.35000000009</v>
      </c>
      <c r="J210" s="41">
        <f t="shared" si="1"/>
        <v>549945.16</v>
      </c>
      <c r="K210" s="41">
        <f t="shared" si="1"/>
        <v>194029.8</v>
      </c>
      <c r="L210" s="41">
        <f t="shared" si="1"/>
        <v>52368309.119999997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6" t="s">
        <v>693</v>
      </c>
      <c r="G211" s="176" t="s">
        <v>694</v>
      </c>
      <c r="H211" s="176" t="s">
        <v>695</v>
      </c>
      <c r="I211" s="176" t="s">
        <v>696</v>
      </c>
      <c r="J211" s="176" t="s">
        <v>697</v>
      </c>
      <c r="K211" s="176" t="s">
        <v>698</v>
      </c>
      <c r="L211" s="66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2" t="s">
        <v>54</v>
      </c>
      <c r="G212" s="102" t="s">
        <v>55</v>
      </c>
      <c r="H212" s="102" t="s">
        <v>56</v>
      </c>
      <c r="I212" s="102" t="s">
        <v>57</v>
      </c>
      <c r="J212" s="102" t="s">
        <v>58</v>
      </c>
      <c r="K212" s="102" t="s">
        <v>59</v>
      </c>
      <c r="L212" s="102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9226274.6999999993</v>
      </c>
      <c r="G214" s="18">
        <v>3336168.09</v>
      </c>
      <c r="H214" s="18">
        <v>95778.85</v>
      </c>
      <c r="I214" s="18">
        <v>233564.49</v>
      </c>
      <c r="J214" s="18">
        <v>24979.91</v>
      </c>
      <c r="K214" s="18">
        <v>5321.53</v>
      </c>
      <c r="L214" s="19">
        <f>SUM(F214:K214)</f>
        <v>12922087.569999998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2359920.06</v>
      </c>
      <c r="G215" s="18">
        <v>883505.53</v>
      </c>
      <c r="H215" s="18">
        <v>687798.75</v>
      </c>
      <c r="I215" s="18">
        <v>8727.2099999999991</v>
      </c>
      <c r="J215" s="18">
        <v>0</v>
      </c>
      <c r="K215" s="18">
        <v>0</v>
      </c>
      <c r="L215" s="19">
        <f>SUM(F215:K215)</f>
        <v>3939951.55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776041.18</v>
      </c>
      <c r="G216" s="18">
        <v>290533.86</v>
      </c>
      <c r="H216" s="18">
        <v>1296.79</v>
      </c>
      <c r="I216" s="18">
        <v>49593.1</v>
      </c>
      <c r="J216" s="18">
        <v>2899</v>
      </c>
      <c r="K216" s="18">
        <v>0</v>
      </c>
      <c r="L216" s="19">
        <f>SUM(F216:K216)</f>
        <v>1120363.9300000002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61284.09</v>
      </c>
      <c r="G217" s="18">
        <v>22943.52</v>
      </c>
      <c r="H217" s="18">
        <v>33011.15</v>
      </c>
      <c r="I217" s="18">
        <v>4207.59</v>
      </c>
      <c r="J217" s="18">
        <v>0</v>
      </c>
      <c r="K217" s="18">
        <v>0</v>
      </c>
      <c r="L217" s="19">
        <f>SUM(F217:K217)</f>
        <v>121446.35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1704843.17</v>
      </c>
      <c r="G219" s="18">
        <v>638258.19999999995</v>
      </c>
      <c r="H219" s="18">
        <v>164779.98000000001</v>
      </c>
      <c r="I219" s="18">
        <v>7268.75</v>
      </c>
      <c r="J219" s="18">
        <v>209.15</v>
      </c>
      <c r="K219" s="18">
        <v>0</v>
      </c>
      <c r="L219" s="19">
        <f t="shared" ref="L219:L225" si="2">SUM(F219:K219)</f>
        <v>2515359.25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408503.28</v>
      </c>
      <c r="G220" s="18">
        <v>150406.62</v>
      </c>
      <c r="H220" s="18">
        <v>34969.040000000001</v>
      </c>
      <c r="I220" s="18">
        <v>71815.97</v>
      </c>
      <c r="J220" s="18">
        <v>223239.18</v>
      </c>
      <c r="K220" s="18">
        <v>17960.560000000001</v>
      </c>
      <c r="L220" s="19">
        <f t="shared" si="2"/>
        <v>906894.65000000014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368115.08</v>
      </c>
      <c r="G221" s="18">
        <v>145420.28</v>
      </c>
      <c r="H221" s="18">
        <v>98882.79</v>
      </c>
      <c r="I221" s="18">
        <v>4808.82</v>
      </c>
      <c r="J221" s="18">
        <v>2529.1999999999998</v>
      </c>
      <c r="K221" s="18">
        <v>62621.77</v>
      </c>
      <c r="L221" s="19">
        <f t="shared" si="2"/>
        <v>682377.94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1013076.79</v>
      </c>
      <c r="G222" s="18">
        <v>377659.9</v>
      </c>
      <c r="H222" s="18">
        <v>519</v>
      </c>
      <c r="I222" s="18">
        <v>6561.49</v>
      </c>
      <c r="J222" s="18">
        <v>0</v>
      </c>
      <c r="K222" s="18">
        <v>0</v>
      </c>
      <c r="L222" s="19">
        <f t="shared" si="2"/>
        <v>1397817.18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117487.08</v>
      </c>
      <c r="G223" s="18">
        <v>37907.040000000001</v>
      </c>
      <c r="H223" s="18">
        <v>3905.66</v>
      </c>
      <c r="I223" s="18">
        <v>0</v>
      </c>
      <c r="J223" s="18">
        <v>0</v>
      </c>
      <c r="K223" s="18"/>
      <c r="L223" s="19">
        <f t="shared" si="2"/>
        <v>159299.78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1085140.75</v>
      </c>
      <c r="G224" s="18">
        <v>406254.36</v>
      </c>
      <c r="H224" s="18">
        <v>1064708.56</v>
      </c>
      <c r="I224" s="18">
        <v>150373.07</v>
      </c>
      <c r="J224" s="18">
        <v>8059.5</v>
      </c>
      <c r="K224" s="18">
        <v>229310.38</v>
      </c>
      <c r="L224" s="19">
        <f t="shared" si="2"/>
        <v>2943846.6199999996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37574.720000000001</v>
      </c>
      <c r="G225" s="18">
        <v>14067.2</v>
      </c>
      <c r="H225" s="18">
        <v>1662054.54</v>
      </c>
      <c r="I225" s="18">
        <v>0</v>
      </c>
      <c r="J225" s="18">
        <v>0</v>
      </c>
      <c r="K225" s="18">
        <v>0</v>
      </c>
      <c r="L225" s="19">
        <f t="shared" si="2"/>
        <v>1713696.46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60516.15</v>
      </c>
      <c r="G226" s="18">
        <v>22656</v>
      </c>
      <c r="H226" s="18">
        <v>25415.33</v>
      </c>
      <c r="I226" s="18">
        <v>0</v>
      </c>
      <c r="J226" s="18">
        <v>0</v>
      </c>
      <c r="K226" s="18">
        <v>0</v>
      </c>
      <c r="L226" s="19">
        <f>SUM(F226:K226)</f>
        <v>108587.48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17218777.049999997</v>
      </c>
      <c r="G228" s="41">
        <f>SUM(G214:G227)</f>
        <v>6325780.6000000015</v>
      </c>
      <c r="H228" s="41">
        <f>SUM(H214:H227)</f>
        <v>3873120.4400000004</v>
      </c>
      <c r="I228" s="41">
        <f>SUM(I214:I227)</f>
        <v>536920.49</v>
      </c>
      <c r="J228" s="41">
        <f>SUM(J214:J227)</f>
        <v>261915.94</v>
      </c>
      <c r="K228" s="41">
        <f t="shared" si="3"/>
        <v>315214.24</v>
      </c>
      <c r="L228" s="41">
        <f t="shared" si="3"/>
        <v>28531728.760000002</v>
      </c>
      <c r="M228" s="8"/>
    </row>
    <row r="229" spans="1:13" s="3" customFormat="1" ht="12" customHeight="1" x14ac:dyDescent="0.15">
      <c r="A229" s="55" t="s">
        <v>466</v>
      </c>
      <c r="B229" s="36"/>
      <c r="C229" s="74"/>
      <c r="D229" s="74"/>
      <c r="E229" s="74"/>
      <c r="F229" s="176" t="s">
        <v>693</v>
      </c>
      <c r="G229" s="176" t="s">
        <v>694</v>
      </c>
      <c r="H229" s="176" t="s">
        <v>695</v>
      </c>
      <c r="I229" s="176" t="s">
        <v>696</v>
      </c>
      <c r="J229" s="176" t="s">
        <v>697</v>
      </c>
      <c r="K229" s="176" t="s">
        <v>698</v>
      </c>
      <c r="L229" s="66"/>
      <c r="M229" s="8"/>
    </row>
    <row r="230" spans="1:13" s="3" customFormat="1" ht="12" customHeight="1" x14ac:dyDescent="0.15">
      <c r="A230" s="29" t="s">
        <v>454</v>
      </c>
      <c r="F230" s="102" t="s">
        <v>54</v>
      </c>
      <c r="G230" s="102" t="s">
        <v>55</v>
      </c>
      <c r="H230" s="102" t="s">
        <v>56</v>
      </c>
      <c r="I230" s="102" t="s">
        <v>57</v>
      </c>
      <c r="J230" s="102" t="s">
        <v>58</v>
      </c>
      <c r="K230" s="102" t="s">
        <v>59</v>
      </c>
      <c r="L230" s="102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11078217.460000001</v>
      </c>
      <c r="G232" s="18">
        <v>3991513.4</v>
      </c>
      <c r="H232" s="18">
        <v>198812.3</v>
      </c>
      <c r="I232" s="18">
        <v>228710.7</v>
      </c>
      <c r="J232" s="18">
        <v>22881.74</v>
      </c>
      <c r="K232" s="18">
        <v>3142.77</v>
      </c>
      <c r="L232" s="19">
        <f>SUM(F232:K232)</f>
        <v>15523278.370000001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2488020.71</v>
      </c>
      <c r="G233" s="18">
        <v>931463.76</v>
      </c>
      <c r="H233" s="18">
        <v>2788100.65</v>
      </c>
      <c r="I233" s="18">
        <v>6572.04</v>
      </c>
      <c r="J233" s="18">
        <v>0</v>
      </c>
      <c r="K233" s="18">
        <v>0</v>
      </c>
      <c r="L233" s="19">
        <f>SUM(F233:K233)</f>
        <v>6214157.1599999992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2267822.14</v>
      </c>
      <c r="G234" s="18">
        <v>849025.99</v>
      </c>
      <c r="H234" s="18">
        <v>22536.82</v>
      </c>
      <c r="I234" s="18">
        <v>138728.29</v>
      </c>
      <c r="J234" s="18">
        <v>20838.919999999998</v>
      </c>
      <c r="K234" s="18">
        <v>0</v>
      </c>
      <c r="L234" s="19">
        <f>SUM(F234:K234)</f>
        <v>3298952.1599999997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398603.28</v>
      </c>
      <c r="G235" s="18">
        <v>149228.9</v>
      </c>
      <c r="H235" s="18">
        <v>167340.24</v>
      </c>
      <c r="I235" s="18">
        <v>14772.95</v>
      </c>
      <c r="J235" s="18">
        <v>0</v>
      </c>
      <c r="K235" s="18">
        <v>0</v>
      </c>
      <c r="L235" s="19">
        <f>SUM(F235:K235)</f>
        <v>729945.37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2677820.4900000002</v>
      </c>
      <c r="G237" s="18">
        <v>1002520.92</v>
      </c>
      <c r="H237" s="18">
        <v>220219.97</v>
      </c>
      <c r="I237" s="18">
        <v>6821.96</v>
      </c>
      <c r="J237" s="18">
        <v>279.52</v>
      </c>
      <c r="K237" s="18">
        <v>0</v>
      </c>
      <c r="L237" s="19">
        <f t="shared" ref="L237:L243" si="4">SUM(F237:K237)</f>
        <v>3907662.8600000003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590871.02</v>
      </c>
      <c r="G238" s="18">
        <v>217377.87</v>
      </c>
      <c r="H238" s="18">
        <v>53976.53</v>
      </c>
      <c r="I238" s="18">
        <v>113903.88</v>
      </c>
      <c r="J238" s="18">
        <v>350984.86</v>
      </c>
      <c r="K238" s="18">
        <v>29384.6</v>
      </c>
      <c r="L238" s="19">
        <f t="shared" si="4"/>
        <v>1356498.7600000002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557877.78</v>
      </c>
      <c r="G239" s="18">
        <v>220384.19</v>
      </c>
      <c r="H239" s="18">
        <v>149856.70000000001</v>
      </c>
      <c r="I239" s="18">
        <v>7287.75</v>
      </c>
      <c r="J239" s="18">
        <v>3832.99</v>
      </c>
      <c r="K239" s="18">
        <v>94903.19</v>
      </c>
      <c r="L239" s="19">
        <f t="shared" si="4"/>
        <v>1034142.5999999999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1075067.8799999999</v>
      </c>
      <c r="G240" s="18">
        <v>400035.44</v>
      </c>
      <c r="H240" s="18">
        <v>985</v>
      </c>
      <c r="I240" s="18">
        <v>0</v>
      </c>
      <c r="J240" s="18">
        <v>0</v>
      </c>
      <c r="K240" s="18">
        <v>0</v>
      </c>
      <c r="L240" s="19">
        <f t="shared" si="4"/>
        <v>1476088.3199999998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178051.48</v>
      </c>
      <c r="G241" s="18">
        <v>57448.05</v>
      </c>
      <c r="H241" s="18">
        <v>5919.03</v>
      </c>
      <c r="I241" s="18">
        <v>0</v>
      </c>
      <c r="J241" s="18">
        <v>0</v>
      </c>
      <c r="K241" s="18"/>
      <c r="L241" s="19">
        <f t="shared" si="4"/>
        <v>241418.56000000003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2153067.23</v>
      </c>
      <c r="G242" s="18">
        <v>806064.07</v>
      </c>
      <c r="H242" s="18">
        <v>2098017.11</v>
      </c>
      <c r="I242" s="18">
        <v>227890.14</v>
      </c>
      <c r="J242" s="18">
        <v>12214.16</v>
      </c>
      <c r="K242" s="18">
        <v>6532.37</v>
      </c>
      <c r="L242" s="19">
        <f t="shared" si="4"/>
        <v>5303785.08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39881.15</v>
      </c>
      <c r="G243" s="18">
        <v>14930.68</v>
      </c>
      <c r="H243" s="18">
        <v>1386689.14</v>
      </c>
      <c r="I243" s="18">
        <v>0</v>
      </c>
      <c r="J243" s="18">
        <v>0</v>
      </c>
      <c r="K243" s="18">
        <v>0</v>
      </c>
      <c r="L243" s="19">
        <f t="shared" si="4"/>
        <v>1441500.97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91712.12</v>
      </c>
      <c r="G244" s="18">
        <v>34335.129999999997</v>
      </c>
      <c r="H244" s="18">
        <v>38516.9</v>
      </c>
      <c r="I244" s="18">
        <v>0</v>
      </c>
      <c r="J244" s="18">
        <v>0</v>
      </c>
      <c r="K244" s="18">
        <v>0</v>
      </c>
      <c r="L244" s="19">
        <f>SUM(F244:K244)</f>
        <v>164564.15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23597012.740000002</v>
      </c>
      <c r="G246" s="41">
        <f t="shared" si="5"/>
        <v>8674328.4000000022</v>
      </c>
      <c r="H246" s="41">
        <f t="shared" si="5"/>
        <v>7130970.3899999997</v>
      </c>
      <c r="I246" s="41">
        <f t="shared" si="5"/>
        <v>744687.71000000008</v>
      </c>
      <c r="J246" s="41">
        <f t="shared" si="5"/>
        <v>411032.18999999994</v>
      </c>
      <c r="K246" s="41">
        <f t="shared" si="5"/>
        <v>133962.93</v>
      </c>
      <c r="L246" s="41">
        <f t="shared" si="5"/>
        <v>40691994.359999999</v>
      </c>
      <c r="M246" s="8"/>
    </row>
    <row r="247" spans="1:13" s="3" customFormat="1" ht="12" customHeight="1" x14ac:dyDescent="0.15">
      <c r="A247" s="69"/>
      <c r="B247" s="36"/>
      <c r="C247" s="37"/>
      <c r="D247" s="37"/>
      <c r="E247" s="37"/>
      <c r="F247" s="176" t="s">
        <v>693</v>
      </c>
      <c r="G247" s="176" t="s">
        <v>694</v>
      </c>
      <c r="H247" s="176" t="s">
        <v>695</v>
      </c>
      <c r="I247" s="176" t="s">
        <v>696</v>
      </c>
      <c r="J247" s="176" t="s">
        <v>697</v>
      </c>
      <c r="K247" s="176" t="s">
        <v>698</v>
      </c>
      <c r="L247" s="66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2" t="s">
        <v>54</v>
      </c>
      <c r="G248" s="102" t="s">
        <v>55</v>
      </c>
      <c r="H248" s="102" t="s">
        <v>56</v>
      </c>
      <c r="I248" s="102" t="s">
        <v>57</v>
      </c>
      <c r="J248" s="102" t="s">
        <v>58</v>
      </c>
      <c r="K248" s="102" t="s">
        <v>59</v>
      </c>
      <c r="L248" s="102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141048.64000000001</v>
      </c>
      <c r="G250" s="18">
        <v>47920.7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si="6"/>
        <v>188969.34000000003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>
        <v>503175.59</v>
      </c>
      <c r="L254" s="19">
        <f t="shared" si="6"/>
        <v>503175.59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141048.64000000001</v>
      </c>
      <c r="G255" s="41">
        <f t="shared" si="7"/>
        <v>47920.7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503175.59</v>
      </c>
      <c r="L255" s="41">
        <f>SUM(F255:K255)</f>
        <v>692144.93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74551273.609999999</v>
      </c>
      <c r="G256" s="41">
        <f t="shared" si="8"/>
        <v>27359433</v>
      </c>
      <c r="H256" s="41">
        <f t="shared" si="8"/>
        <v>15797172.16</v>
      </c>
      <c r="I256" s="41">
        <f t="shared" si="8"/>
        <v>2207022.5500000003</v>
      </c>
      <c r="J256" s="41">
        <f t="shared" si="8"/>
        <v>1222893.29</v>
      </c>
      <c r="K256" s="41">
        <f t="shared" si="8"/>
        <v>1146382.56</v>
      </c>
      <c r="L256" s="41">
        <f t="shared" si="8"/>
        <v>122284177.17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9313522.0500000007</v>
      </c>
      <c r="L259" s="19">
        <f>SUM(F259:K259)</f>
        <v>9313522.0500000007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3796210.78</v>
      </c>
      <c r="L260" s="19">
        <f>SUM(F260:K260)</f>
        <v>3796210.78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100000</v>
      </c>
      <c r="L265" s="19">
        <f t="shared" si="9"/>
        <v>100000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13209732.83</v>
      </c>
      <c r="L269" s="41">
        <f t="shared" si="9"/>
        <v>13209732.83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74551273.609999999</v>
      </c>
      <c r="G270" s="42">
        <f t="shared" si="11"/>
        <v>27359433</v>
      </c>
      <c r="H270" s="42">
        <f t="shared" si="11"/>
        <v>15797172.16</v>
      </c>
      <c r="I270" s="42">
        <f t="shared" si="11"/>
        <v>2207022.5500000003</v>
      </c>
      <c r="J270" s="42">
        <f t="shared" si="11"/>
        <v>1222893.29</v>
      </c>
      <c r="K270" s="42">
        <f t="shared" si="11"/>
        <v>14356115.390000001</v>
      </c>
      <c r="L270" s="42">
        <f t="shared" si="11"/>
        <v>135493910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6" t="s">
        <v>693</v>
      </c>
      <c r="G272" s="176" t="s">
        <v>694</v>
      </c>
      <c r="H272" s="176" t="s">
        <v>695</v>
      </c>
      <c r="I272" s="176" t="s">
        <v>696</v>
      </c>
      <c r="J272" s="176" t="s">
        <v>697</v>
      </c>
      <c r="K272" s="176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2" t="s">
        <v>54</v>
      </c>
      <c r="G273" s="102" t="s">
        <v>55</v>
      </c>
      <c r="H273" s="102" t="s">
        <v>56</v>
      </c>
      <c r="I273" s="102" t="s">
        <v>57</v>
      </c>
      <c r="J273" s="102" t="s">
        <v>58</v>
      </c>
      <c r="K273" s="102" t="s">
        <v>59</v>
      </c>
      <c r="L273" s="102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517246.31</v>
      </c>
      <c r="G275" s="18">
        <v>123030.52999999998</v>
      </c>
      <c r="H275" s="18">
        <v>0</v>
      </c>
      <c r="I275" s="18">
        <v>10965.400000000001</v>
      </c>
      <c r="J275" s="18">
        <v>118591.32</v>
      </c>
      <c r="K275" s="18">
        <v>0</v>
      </c>
      <c r="L275" s="19">
        <f>SUM(F275:K275)</f>
        <v>769833.56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3460952.3799999994</v>
      </c>
      <c r="G276" s="18">
        <v>710061.51</v>
      </c>
      <c r="H276" s="18">
        <v>850903.76</v>
      </c>
      <c r="I276" s="18">
        <v>144209.08999999997</v>
      </c>
      <c r="J276" s="18">
        <v>90030.27</v>
      </c>
      <c r="K276" s="18">
        <v>0</v>
      </c>
      <c r="L276" s="19">
        <f>SUM(F276:K276)</f>
        <v>5256157.0099999988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443533.17</v>
      </c>
      <c r="G278" s="18">
        <v>81983.58</v>
      </c>
      <c r="H278" s="18">
        <v>42051.69</v>
      </c>
      <c r="I278" s="18">
        <v>88125.63</v>
      </c>
      <c r="J278" s="18">
        <v>0</v>
      </c>
      <c r="K278" s="18">
        <v>0</v>
      </c>
      <c r="L278" s="19">
        <f>SUM(F278:K278)</f>
        <v>655694.06999999995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26191.25</v>
      </c>
      <c r="G280" s="18">
        <v>174.75</v>
      </c>
      <c r="H280" s="18">
        <v>105185.79</v>
      </c>
      <c r="I280" s="18">
        <v>8331.25</v>
      </c>
      <c r="J280" s="18">
        <v>0</v>
      </c>
      <c r="K280" s="18">
        <v>0</v>
      </c>
      <c r="L280" s="19">
        <f t="shared" ref="L280:L286" si="12">SUM(F280:K280)</f>
        <v>139883.03999999998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275955.64999999997</v>
      </c>
      <c r="G281" s="18">
        <v>106515.88000000002</v>
      </c>
      <c r="H281" s="18">
        <v>145116.94</v>
      </c>
      <c r="I281" s="18">
        <v>31810.45</v>
      </c>
      <c r="J281" s="18">
        <v>33225.550000000003</v>
      </c>
      <c r="K281" s="18">
        <v>0</v>
      </c>
      <c r="L281" s="19">
        <f t="shared" si="12"/>
        <v>592624.47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2168.63</v>
      </c>
      <c r="G282" s="18">
        <v>460.75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2629.38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84708.25</v>
      </c>
      <c r="G283" s="18">
        <v>30574.799999999999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115283.05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120862.06</v>
      </c>
      <c r="L284" s="19">
        <f t="shared" si="12"/>
        <v>120862.06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19237.400000000001</v>
      </c>
      <c r="G285" s="18">
        <v>4088.44</v>
      </c>
      <c r="H285" s="18">
        <v>0</v>
      </c>
      <c r="I285" s="18">
        <v>163.68</v>
      </c>
      <c r="J285" s="18">
        <v>0</v>
      </c>
      <c r="K285" s="18">
        <v>35748.26</v>
      </c>
      <c r="L285" s="19">
        <f t="shared" si="12"/>
        <v>59237.78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13097.49</v>
      </c>
      <c r="I286" s="18">
        <v>0</v>
      </c>
      <c r="J286" s="18">
        <v>0</v>
      </c>
      <c r="K286" s="18">
        <v>0</v>
      </c>
      <c r="L286" s="19">
        <f t="shared" si="12"/>
        <v>13097.49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11172.220000000001</v>
      </c>
      <c r="I287" s="18">
        <v>0</v>
      </c>
      <c r="J287" s="18">
        <v>0</v>
      </c>
      <c r="K287" s="18">
        <v>0</v>
      </c>
      <c r="L287" s="19">
        <f>SUM(F287:K287)</f>
        <v>11172.220000000001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4829993.04</v>
      </c>
      <c r="G289" s="42">
        <f t="shared" si="13"/>
        <v>1056890.24</v>
      </c>
      <c r="H289" s="42">
        <f t="shared" si="13"/>
        <v>1167527.8899999999</v>
      </c>
      <c r="I289" s="42">
        <f t="shared" si="13"/>
        <v>283605.49999999994</v>
      </c>
      <c r="J289" s="42">
        <f t="shared" si="13"/>
        <v>241847.14</v>
      </c>
      <c r="K289" s="42">
        <f t="shared" si="13"/>
        <v>156610.32</v>
      </c>
      <c r="L289" s="41">
        <f t="shared" si="13"/>
        <v>7736474.129999998</v>
      </c>
      <c r="M289" s="8"/>
    </row>
    <row r="290" spans="1:13" s="3" customFormat="1" ht="12" customHeight="1" x14ac:dyDescent="0.2">
      <c r="A290" s="69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6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6" t="s">
        <v>693</v>
      </c>
      <c r="G291" s="176" t="s">
        <v>694</v>
      </c>
      <c r="H291" s="176" t="s">
        <v>695</v>
      </c>
      <c r="I291" s="176" t="s">
        <v>696</v>
      </c>
      <c r="J291" s="176" t="s">
        <v>697</v>
      </c>
      <c r="K291" s="176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2" t="s">
        <v>54</v>
      </c>
      <c r="G292" s="102" t="s">
        <v>55</v>
      </c>
      <c r="H292" s="102" t="s">
        <v>56</v>
      </c>
      <c r="I292" s="102" t="s">
        <v>57</v>
      </c>
      <c r="J292" s="102" t="s">
        <v>58</v>
      </c>
      <c r="K292" s="102" t="s">
        <v>59</v>
      </c>
      <c r="L292" s="102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335.52</v>
      </c>
      <c r="G294" s="18">
        <v>25.67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361.19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593737.65999999992</v>
      </c>
      <c r="G295" s="18">
        <v>179677.92</v>
      </c>
      <c r="H295" s="18">
        <v>60614.570000000007</v>
      </c>
      <c r="I295" s="18">
        <v>22172.15</v>
      </c>
      <c r="J295" s="18">
        <v>20128.400000000001</v>
      </c>
      <c r="K295" s="18">
        <v>0</v>
      </c>
      <c r="L295" s="19">
        <f>SUM(F295:K295)</f>
        <v>876330.7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170268.89</v>
      </c>
      <c r="G297" s="18">
        <v>45701.21</v>
      </c>
      <c r="H297" s="18">
        <v>6184.02</v>
      </c>
      <c r="I297" s="18">
        <v>12058.19</v>
      </c>
      <c r="J297" s="18">
        <v>0</v>
      </c>
      <c r="K297" s="18">
        <v>0</v>
      </c>
      <c r="L297" s="19">
        <f>SUM(F297:K297)</f>
        <v>234212.31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11209.85</v>
      </c>
      <c r="G299" s="18">
        <v>74.790000000000006</v>
      </c>
      <c r="H299" s="18">
        <v>45019.519999999997</v>
      </c>
      <c r="I299" s="18">
        <v>3565.77</v>
      </c>
      <c r="J299" s="18">
        <v>0</v>
      </c>
      <c r="K299" s="18">
        <v>0</v>
      </c>
      <c r="L299" s="19">
        <f t="shared" ref="L299:L305" si="14">SUM(F299:K299)</f>
        <v>59869.929999999993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66839.28</v>
      </c>
      <c r="G300" s="18">
        <v>21325.41</v>
      </c>
      <c r="H300" s="18">
        <v>43802.75</v>
      </c>
      <c r="I300" s="18">
        <v>14042.8</v>
      </c>
      <c r="J300" s="18">
        <v>10377.719999999999</v>
      </c>
      <c r="K300" s="18">
        <v>0</v>
      </c>
      <c r="L300" s="19">
        <f t="shared" si="14"/>
        <v>156387.96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1037.17</v>
      </c>
      <c r="G301" s="18">
        <v>308.32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1345.49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50354.71</v>
      </c>
      <c r="G302" s="18">
        <v>20631.330000000002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70986.040000000008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19886.62</v>
      </c>
      <c r="L303" s="19">
        <f t="shared" si="14"/>
        <v>19886.62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9200.5</v>
      </c>
      <c r="G304" s="18">
        <v>2734.56</v>
      </c>
      <c r="H304" s="18">
        <v>0</v>
      </c>
      <c r="I304" s="18">
        <v>0</v>
      </c>
      <c r="J304" s="18">
        <v>0</v>
      </c>
      <c r="K304" s="18">
        <v>17096.990000000002</v>
      </c>
      <c r="L304" s="19">
        <f t="shared" si="14"/>
        <v>29032.050000000003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13097.49</v>
      </c>
      <c r="I305" s="18">
        <v>0</v>
      </c>
      <c r="J305" s="18">
        <v>0</v>
      </c>
      <c r="K305" s="18">
        <v>0</v>
      </c>
      <c r="L305" s="19">
        <f t="shared" si="14"/>
        <v>13097.49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902983.58</v>
      </c>
      <c r="G308" s="42">
        <f t="shared" si="15"/>
        <v>270479.21000000002</v>
      </c>
      <c r="H308" s="42">
        <f t="shared" si="15"/>
        <v>168718.35</v>
      </c>
      <c r="I308" s="42">
        <f t="shared" si="15"/>
        <v>51838.91</v>
      </c>
      <c r="J308" s="42">
        <f t="shared" si="15"/>
        <v>30506.120000000003</v>
      </c>
      <c r="K308" s="42">
        <f t="shared" si="15"/>
        <v>36983.61</v>
      </c>
      <c r="L308" s="41">
        <f t="shared" si="15"/>
        <v>1461509.78</v>
      </c>
    </row>
    <row r="309" spans="1:13" s="3" customFormat="1" ht="12" customHeight="1" x14ac:dyDescent="0.2">
      <c r="A309" s="69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6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6" t="s">
        <v>693</v>
      </c>
      <c r="G310" s="176" t="s">
        <v>694</v>
      </c>
      <c r="H310" s="176" t="s">
        <v>695</v>
      </c>
      <c r="I310" s="176" t="s">
        <v>696</v>
      </c>
      <c r="J310" s="176" t="s">
        <v>697</v>
      </c>
      <c r="K310" s="176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2" t="s">
        <v>54</v>
      </c>
      <c r="G311" s="102" t="s">
        <v>55</v>
      </c>
      <c r="H311" s="102" t="s">
        <v>56</v>
      </c>
      <c r="I311" s="102" t="s">
        <v>57</v>
      </c>
      <c r="J311" s="102" t="s">
        <v>58</v>
      </c>
      <c r="K311" s="102" t="s">
        <v>59</v>
      </c>
      <c r="L311" s="102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508.32</v>
      </c>
      <c r="G313" s="18">
        <v>38.89</v>
      </c>
      <c r="H313" s="18">
        <v>75</v>
      </c>
      <c r="I313" s="18">
        <v>0</v>
      </c>
      <c r="J313" s="18">
        <v>0</v>
      </c>
      <c r="K313" s="18">
        <v>0</v>
      </c>
      <c r="L313" s="19">
        <f>SUM(F313:K313)</f>
        <v>622.21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565487.4</v>
      </c>
      <c r="G314" s="18">
        <v>229352.04000000004</v>
      </c>
      <c r="H314" s="18">
        <v>217337.85</v>
      </c>
      <c r="I314" s="18">
        <v>29631.94</v>
      </c>
      <c r="J314" s="18">
        <v>26900.57</v>
      </c>
      <c r="K314" s="18">
        <v>0</v>
      </c>
      <c r="L314" s="19">
        <f>SUM(F314:K314)</f>
        <v>1068709.8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75648.600000000006</v>
      </c>
      <c r="G315" s="18">
        <v>35180.71</v>
      </c>
      <c r="H315" s="18">
        <v>473.40999999999997</v>
      </c>
      <c r="I315" s="18">
        <v>27565.75</v>
      </c>
      <c r="J315" s="18">
        <v>193031.94</v>
      </c>
      <c r="K315" s="18">
        <v>0</v>
      </c>
      <c r="L315" s="19">
        <f>SUM(F315:K315)</f>
        <v>331900.41000000003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179984.51</v>
      </c>
      <c r="G316" s="18">
        <v>7637.22</v>
      </c>
      <c r="H316" s="18">
        <v>0.30999999999994543</v>
      </c>
      <c r="I316" s="18">
        <v>47448.679999999993</v>
      </c>
      <c r="J316" s="18">
        <v>14781.949999999999</v>
      </c>
      <c r="K316" s="18">
        <v>179043</v>
      </c>
      <c r="L316" s="19">
        <f>SUM(F316:K316)</f>
        <v>428895.67000000004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14981.39</v>
      </c>
      <c r="G318" s="18">
        <v>99.96</v>
      </c>
      <c r="H318" s="18">
        <v>60166.27</v>
      </c>
      <c r="I318" s="18">
        <v>4765.47</v>
      </c>
      <c r="J318" s="18">
        <v>0</v>
      </c>
      <c r="K318" s="18">
        <v>0</v>
      </c>
      <c r="L318" s="19">
        <f t="shared" ref="L318:L324" si="16">SUM(F318:K318)</f>
        <v>80013.09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359021.41</v>
      </c>
      <c r="G319" s="18">
        <v>90607.53</v>
      </c>
      <c r="H319" s="18">
        <v>173719.54</v>
      </c>
      <c r="I319" s="18">
        <v>29194.080000000005</v>
      </c>
      <c r="J319" s="18">
        <v>16433.41</v>
      </c>
      <c r="K319" s="18">
        <v>0</v>
      </c>
      <c r="L319" s="19">
        <f t="shared" si="16"/>
        <v>668975.97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1508.61</v>
      </c>
      <c r="G320" s="18">
        <v>395.4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1904.0099999999998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42239.119999999995</v>
      </c>
      <c r="L322" s="19">
        <f t="shared" si="16"/>
        <v>42239.119999999995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13382.54</v>
      </c>
      <c r="G323" s="18">
        <v>3507.9</v>
      </c>
      <c r="H323" s="18">
        <v>0</v>
      </c>
      <c r="I323" s="18">
        <v>0</v>
      </c>
      <c r="J323" s="18">
        <v>0</v>
      </c>
      <c r="K323" s="18">
        <v>24868.35</v>
      </c>
      <c r="L323" s="19">
        <f t="shared" si="16"/>
        <v>41758.79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13144.96</v>
      </c>
      <c r="I324" s="18">
        <v>0</v>
      </c>
      <c r="J324" s="18">
        <v>0</v>
      </c>
      <c r="K324" s="18">
        <v>0</v>
      </c>
      <c r="L324" s="19">
        <f t="shared" si="16"/>
        <v>13144.96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1210522.78</v>
      </c>
      <c r="G327" s="42">
        <f t="shared" si="17"/>
        <v>366819.65000000014</v>
      </c>
      <c r="H327" s="42">
        <f t="shared" si="17"/>
        <v>464917.34</v>
      </c>
      <c r="I327" s="42">
        <f t="shared" si="17"/>
        <v>138605.92000000001</v>
      </c>
      <c r="J327" s="42">
        <f t="shared" si="17"/>
        <v>251147.87000000002</v>
      </c>
      <c r="K327" s="42">
        <f t="shared" si="17"/>
        <v>246150.47</v>
      </c>
      <c r="L327" s="41">
        <f t="shared" si="17"/>
        <v>2678164.0299999998</v>
      </c>
      <c r="M327" s="8"/>
    </row>
    <row r="328" spans="1:13" s="3" customFormat="1" ht="12" customHeight="1" x14ac:dyDescent="0.2">
      <c r="A328" s="69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6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6" t="s">
        <v>693</v>
      </c>
      <c r="G329" s="176" t="s">
        <v>694</v>
      </c>
      <c r="H329" s="176" t="s">
        <v>695</v>
      </c>
      <c r="I329" s="176" t="s">
        <v>696</v>
      </c>
      <c r="J329" s="176" t="s">
        <v>697</v>
      </c>
      <c r="K329" s="176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2" t="s">
        <v>54</v>
      </c>
      <c r="G330" s="102" t="s">
        <v>55</v>
      </c>
      <c r="H330" s="102" t="s">
        <v>56</v>
      </c>
      <c r="I330" s="102" t="s">
        <v>57</v>
      </c>
      <c r="J330" s="102" t="s">
        <v>58</v>
      </c>
      <c r="K330" s="102" t="s">
        <v>59</v>
      </c>
      <c r="L330" s="102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9934.630000000001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9934.630000000001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125700.41</v>
      </c>
      <c r="G332" s="18">
        <v>10082.769999999999</v>
      </c>
      <c r="H332" s="18">
        <v>10462.31</v>
      </c>
      <c r="I332" s="18">
        <v>20686.63</v>
      </c>
      <c r="J332" s="18">
        <v>5309.8700000000008</v>
      </c>
      <c r="K332" s="18">
        <v>0</v>
      </c>
      <c r="L332" s="19">
        <f t="shared" si="18"/>
        <v>172241.99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125700.41</v>
      </c>
      <c r="G336" s="41">
        <f t="shared" si="19"/>
        <v>10082.769999999999</v>
      </c>
      <c r="H336" s="41">
        <f t="shared" si="19"/>
        <v>20396.940000000002</v>
      </c>
      <c r="I336" s="41">
        <f t="shared" si="19"/>
        <v>20686.63</v>
      </c>
      <c r="J336" s="41">
        <f t="shared" si="19"/>
        <v>5309.8700000000008</v>
      </c>
      <c r="K336" s="41">
        <f t="shared" si="19"/>
        <v>0</v>
      </c>
      <c r="L336" s="41">
        <f t="shared" si="18"/>
        <v>182176.62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7069199.8100000005</v>
      </c>
      <c r="G337" s="41">
        <f t="shared" si="20"/>
        <v>1704271.87</v>
      </c>
      <c r="H337" s="41">
        <f t="shared" si="20"/>
        <v>1821560.52</v>
      </c>
      <c r="I337" s="41">
        <f t="shared" si="20"/>
        <v>494736.95999999996</v>
      </c>
      <c r="J337" s="41">
        <f t="shared" si="20"/>
        <v>528811</v>
      </c>
      <c r="K337" s="41">
        <f t="shared" si="20"/>
        <v>439744.4</v>
      </c>
      <c r="L337" s="41">
        <f t="shared" si="20"/>
        <v>12058324.559999997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7069199.8100000005</v>
      </c>
      <c r="G351" s="41">
        <f>G337</f>
        <v>1704271.87</v>
      </c>
      <c r="H351" s="41">
        <f>H337</f>
        <v>1821560.52</v>
      </c>
      <c r="I351" s="41">
        <f>I337</f>
        <v>494736.95999999996</v>
      </c>
      <c r="J351" s="41">
        <f>J337</f>
        <v>528811</v>
      </c>
      <c r="K351" s="47">
        <f>K337+K350</f>
        <v>439744.4</v>
      </c>
      <c r="L351" s="41">
        <f>L337+L350</f>
        <v>12058324.559999997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69"/>
      <c r="B352" s="37"/>
      <c r="C352" s="23"/>
      <c r="D352" s="23"/>
      <c r="E352" s="23"/>
      <c r="F352" s="66"/>
      <c r="G352" s="66"/>
      <c r="H352" s="66"/>
      <c r="I352" s="66"/>
      <c r="J352" s="66"/>
      <c r="K352" s="56"/>
      <c r="L352" s="66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6" t="s">
        <v>693</v>
      </c>
      <c r="G353" s="176" t="s">
        <v>694</v>
      </c>
      <c r="H353" s="176" t="s">
        <v>695</v>
      </c>
      <c r="I353" s="176" t="s">
        <v>696</v>
      </c>
      <c r="J353" s="176" t="s">
        <v>697</v>
      </c>
      <c r="K353" s="176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2" t="s">
        <v>54</v>
      </c>
      <c r="G354" s="102" t="s">
        <v>55</v>
      </c>
      <c r="H354" s="102" t="s">
        <v>56</v>
      </c>
      <c r="I354" s="102" t="s">
        <v>57</v>
      </c>
      <c r="J354" s="102" t="s">
        <v>58</v>
      </c>
      <c r="K354" s="102" t="s">
        <v>59</v>
      </c>
      <c r="L354" s="102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787996.87000000046</v>
      </c>
      <c r="G357" s="18">
        <v>306093.37</v>
      </c>
      <c r="H357" s="18">
        <v>29554.239999999998</v>
      </c>
      <c r="I357" s="18">
        <v>983779.28</v>
      </c>
      <c r="J357" s="18">
        <v>23490.65</v>
      </c>
      <c r="K357" s="18">
        <v>0</v>
      </c>
      <c r="L357" s="13">
        <f>SUM(F357:K357)</f>
        <v>2130914.4100000006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488197.35</v>
      </c>
      <c r="G358" s="18">
        <v>127251.91</v>
      </c>
      <c r="H358" s="18">
        <v>13017.550000000001</v>
      </c>
      <c r="I358" s="18">
        <v>603739.73</v>
      </c>
      <c r="J358" s="18">
        <v>11512.09</v>
      </c>
      <c r="K358" s="18">
        <v>0</v>
      </c>
      <c r="L358" s="19">
        <f>SUM(F358:K358)</f>
        <v>1243718.6300000001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625148.19000000006</v>
      </c>
      <c r="G359" s="18">
        <v>133645.29</v>
      </c>
      <c r="H359" s="18">
        <v>18727.48</v>
      </c>
      <c r="I359" s="18">
        <v>878294.11999999988</v>
      </c>
      <c r="J359" s="18">
        <v>21479.440000000002</v>
      </c>
      <c r="K359" s="18">
        <v>0</v>
      </c>
      <c r="L359" s="19">
        <f>SUM(F359:K359)</f>
        <v>1677294.52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1901342.4100000006</v>
      </c>
      <c r="G361" s="47">
        <f t="shared" si="22"/>
        <v>566990.57000000007</v>
      </c>
      <c r="H361" s="47">
        <f t="shared" si="22"/>
        <v>61299.270000000004</v>
      </c>
      <c r="I361" s="47">
        <f t="shared" si="22"/>
        <v>2465813.13</v>
      </c>
      <c r="J361" s="47">
        <f t="shared" si="22"/>
        <v>56482.180000000008</v>
      </c>
      <c r="K361" s="47">
        <f t="shared" si="22"/>
        <v>0</v>
      </c>
      <c r="L361" s="47">
        <f t="shared" si="22"/>
        <v>5051927.5600000005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889170.5</v>
      </c>
      <c r="G366" s="18">
        <v>552343.1</v>
      </c>
      <c r="H366" s="18">
        <v>803964.90999999992</v>
      </c>
      <c r="I366" s="56">
        <f>SUM(F366:H366)</f>
        <v>2245478.5099999998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18">
        <v>94608.780000000013</v>
      </c>
      <c r="G367" s="18">
        <v>51396.630000000005</v>
      </c>
      <c r="H367" s="18">
        <v>74329.210000000006</v>
      </c>
      <c r="I367" s="56">
        <f>SUM(F367:H367)</f>
        <v>220334.62000000005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983779.28</v>
      </c>
      <c r="G368" s="47">
        <f>SUM(G366:G367)</f>
        <v>603739.73</v>
      </c>
      <c r="H368" s="47">
        <f>SUM(H366:H367)</f>
        <v>878294.11999999988</v>
      </c>
      <c r="I368" s="47">
        <f>SUM(I366:I367)</f>
        <v>2465813.13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3"/>
      <c r="G369" s="63"/>
      <c r="H369" s="63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6" t="s">
        <v>693</v>
      </c>
      <c r="G370" s="176" t="s">
        <v>694</v>
      </c>
      <c r="H370" s="176" t="s">
        <v>695</v>
      </c>
      <c r="I370" s="176" t="s">
        <v>696</v>
      </c>
      <c r="J370" s="176" t="s">
        <v>697</v>
      </c>
      <c r="K370" s="176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2" t="s">
        <v>54</v>
      </c>
      <c r="G371" s="102" t="s">
        <v>55</v>
      </c>
      <c r="H371" s="102" t="s">
        <v>56</v>
      </c>
      <c r="I371" s="102" t="s">
        <v>57</v>
      </c>
      <c r="J371" s="102" t="s">
        <v>58</v>
      </c>
      <c r="K371" s="102" t="s">
        <v>59</v>
      </c>
      <c r="L371" s="102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>
        <f>644112.6</f>
        <v>644112.6</v>
      </c>
      <c r="L374" s="13">
        <f t="shared" ref="L374:L380" si="23">SUM(F374:K374)</f>
        <v>644112.6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>
        <v>6980074.3399999999</v>
      </c>
      <c r="L378" s="13">
        <f t="shared" si="23"/>
        <v>6980074.3399999999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128112.06</v>
      </c>
      <c r="L380" s="13">
        <f t="shared" si="23"/>
        <v>128112.06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8">
        <f>SUM(F373:F380)</f>
        <v>0</v>
      </c>
      <c r="G381" s="138">
        <f t="shared" ref="G381:L381" si="24">SUM(G373:G380)</f>
        <v>0</v>
      </c>
      <c r="H381" s="138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7752298.9999999991</v>
      </c>
      <c r="L381" s="47">
        <f t="shared" si="24"/>
        <v>7752298.9999999991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5"/>
      <c r="G382" s="65"/>
      <c r="H382" s="65"/>
      <c r="I382" s="66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5"/>
      <c r="C383" s="75"/>
      <c r="D383" s="75"/>
      <c r="E383" s="75"/>
      <c r="F383" s="65"/>
      <c r="G383" s="65"/>
      <c r="H383" s="65"/>
      <c r="I383" s="66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6" t="s">
        <v>341</v>
      </c>
      <c r="M385" s="8"/>
    </row>
    <row r="386" spans="1:13" s="3" customFormat="1" ht="12" customHeight="1" x14ac:dyDescent="0.15">
      <c r="A386" s="78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8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8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f>11050.82</f>
        <v>11050.82</v>
      </c>
      <c r="I388" s="18"/>
      <c r="J388" s="24" t="s">
        <v>289</v>
      </c>
      <c r="K388" s="24" t="s">
        <v>289</v>
      </c>
      <c r="L388" s="56">
        <f t="shared" si="25"/>
        <v>11050.82</v>
      </c>
      <c r="M388" s="8"/>
    </row>
    <row r="389" spans="1:13" s="3" customFormat="1" ht="12" customHeight="1" x14ac:dyDescent="0.15">
      <c r="A389" s="78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8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8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750.72</v>
      </c>
      <c r="I391" s="18"/>
      <c r="J391" s="24" t="s">
        <v>289</v>
      </c>
      <c r="K391" s="24" t="s">
        <v>289</v>
      </c>
      <c r="L391" s="56">
        <f t="shared" si="25"/>
        <v>750.72</v>
      </c>
      <c r="M391" s="8"/>
    </row>
    <row r="392" spans="1:13" s="3" customFormat="1" ht="12" customHeight="1" thickTop="1" x14ac:dyDescent="0.15">
      <c r="A392" s="159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8">
        <f>SUM(F386:F391)</f>
        <v>0</v>
      </c>
      <c r="G392" s="138">
        <f>SUM(G386:G391)</f>
        <v>0</v>
      </c>
      <c r="H392" s="138">
        <f>SUM(H386:H391)</f>
        <v>11801.539999999999</v>
      </c>
      <c r="I392" s="64">
        <f>SUM(I386:I391)</f>
        <v>0</v>
      </c>
      <c r="J392" s="45" t="s">
        <v>289</v>
      </c>
      <c r="K392" s="45" t="s">
        <v>289</v>
      </c>
      <c r="L392" s="47">
        <f>SUM(L386:L391)</f>
        <v>11801.539999999999</v>
      </c>
      <c r="M392" s="8"/>
    </row>
    <row r="393" spans="1:13" s="3" customFormat="1" ht="12" customHeight="1" x14ac:dyDescent="0.15">
      <c r="A393" s="77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8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8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128112.06</v>
      </c>
      <c r="H395" s="18">
        <f>76.62+413.97</f>
        <v>490.59000000000003</v>
      </c>
      <c r="I395" s="18"/>
      <c r="J395" s="24" t="s">
        <v>289</v>
      </c>
      <c r="K395" s="24" t="s">
        <v>289</v>
      </c>
      <c r="L395" s="56">
        <f t="shared" si="26"/>
        <v>128602.65</v>
      </c>
      <c r="M395" s="8"/>
    </row>
    <row r="396" spans="1:13" s="3" customFormat="1" ht="12" customHeight="1" x14ac:dyDescent="0.15">
      <c r="A396" s="78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375.86</v>
      </c>
      <c r="I396" s="18"/>
      <c r="J396" s="24" t="s">
        <v>289</v>
      </c>
      <c r="K396" s="24" t="s">
        <v>289</v>
      </c>
      <c r="L396" s="56">
        <f t="shared" si="26"/>
        <v>375.86</v>
      </c>
      <c r="M396" s="8"/>
    </row>
    <row r="397" spans="1:13" s="3" customFormat="1" ht="12" customHeight="1" x14ac:dyDescent="0.15">
      <c r="A397" s="78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8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8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100000</v>
      </c>
      <c r="H399" s="18">
        <f>14663.93-11050.82-750.72-490.59-375.86</f>
        <v>1995.94</v>
      </c>
      <c r="I399" s="18">
        <f>140030.63</f>
        <v>140030.63</v>
      </c>
      <c r="J399" s="24" t="s">
        <v>289</v>
      </c>
      <c r="K399" s="24" t="s">
        <v>289</v>
      </c>
      <c r="L399" s="56">
        <f t="shared" si="26"/>
        <v>242026.57</v>
      </c>
      <c r="M399" s="8"/>
    </row>
    <row r="400" spans="1:13" s="3" customFormat="1" ht="12" customHeight="1" thickTop="1" x14ac:dyDescent="0.15">
      <c r="A400" s="159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228112.06</v>
      </c>
      <c r="H400" s="47">
        <f>SUM(H394:H399)</f>
        <v>2862.3900000000003</v>
      </c>
      <c r="I400" s="47">
        <f>SUM(I394:I399)</f>
        <v>140030.63</v>
      </c>
      <c r="J400" s="45" t="s">
        <v>289</v>
      </c>
      <c r="K400" s="45" t="s">
        <v>289</v>
      </c>
      <c r="L400" s="47">
        <f>SUM(L394:L399)</f>
        <v>371005.08</v>
      </c>
      <c r="M400" s="8"/>
    </row>
    <row r="401" spans="1:21" s="3" customFormat="1" ht="12" customHeight="1" x14ac:dyDescent="0.15">
      <c r="A401" s="77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09" t="s">
        <v>909</v>
      </c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>
        <f>134801.51+51226.47-125093.72</f>
        <v>60934.260000000009</v>
      </c>
      <c r="I402" s="18">
        <f>1150+15659+15.91</f>
        <v>16824.91</v>
      </c>
      <c r="J402" s="24" t="s">
        <v>289</v>
      </c>
      <c r="K402" s="24" t="s">
        <v>289</v>
      </c>
      <c r="L402" s="56">
        <f>SUM(F402:K402)</f>
        <v>77759.170000000013</v>
      </c>
      <c r="M402" s="8"/>
    </row>
    <row r="403" spans="1:21" s="3" customFormat="1" ht="12" customHeight="1" x14ac:dyDescent="0.15">
      <c r="A403" s="109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09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09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59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60934.260000000009</v>
      </c>
      <c r="I406" s="47">
        <f>SUM(I402:I405)</f>
        <v>16824.91</v>
      </c>
      <c r="J406" s="49" t="s">
        <v>289</v>
      </c>
      <c r="K406" s="49" t="s">
        <v>289</v>
      </c>
      <c r="L406" s="47">
        <f>SUM(L402:L405)</f>
        <v>77759.170000000013</v>
      </c>
      <c r="M406" s="8"/>
    </row>
    <row r="407" spans="1:21" s="3" customFormat="1" ht="12" customHeight="1" thickTop="1" x14ac:dyDescent="0.15">
      <c r="A407" s="77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228112.06</v>
      </c>
      <c r="H407" s="47">
        <f>H392+H400+H406</f>
        <v>75598.19</v>
      </c>
      <c r="I407" s="47">
        <f>I392+I400+I406</f>
        <v>156855.54</v>
      </c>
      <c r="J407" s="24" t="s">
        <v>289</v>
      </c>
      <c r="K407" s="24" t="s">
        <v>289</v>
      </c>
      <c r="L407" s="47">
        <f>L392+L400+L406</f>
        <v>460565.79000000004</v>
      </c>
      <c r="M407" s="8"/>
    </row>
    <row r="408" spans="1:21" s="3" customFormat="1" ht="12" customHeight="1" x14ac:dyDescent="0.15">
      <c r="A408" s="77"/>
      <c r="B408" s="2"/>
      <c r="C408" s="6"/>
      <c r="D408" s="6"/>
      <c r="E408" s="6"/>
      <c r="F408" s="176" t="s">
        <v>693</v>
      </c>
      <c r="G408" s="176" t="s">
        <v>694</v>
      </c>
      <c r="H408" s="176" t="s">
        <v>695</v>
      </c>
      <c r="I408" s="176" t="s">
        <v>696</v>
      </c>
      <c r="J408" s="176" t="s">
        <v>697</v>
      </c>
      <c r="K408" s="176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5"/>
      <c r="C409" s="75"/>
      <c r="D409" s="75"/>
      <c r="E409" s="75"/>
      <c r="F409" s="65"/>
      <c r="G409" s="16" t="s">
        <v>385</v>
      </c>
      <c r="H409" s="16" t="s">
        <v>386</v>
      </c>
      <c r="I409" s="66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6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8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8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8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8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8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8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>
        <v>9647.2000000000007</v>
      </c>
      <c r="K417" s="18"/>
      <c r="L417" s="56">
        <f t="shared" si="27"/>
        <v>9647.2000000000007</v>
      </c>
      <c r="M417" s="8"/>
    </row>
    <row r="418" spans="1:21" s="3" customFormat="1" ht="12" customHeight="1" thickTop="1" x14ac:dyDescent="0.15">
      <c r="A418" s="159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8">
        <f t="shared" ref="F418:L418" si="28">SUM(F412:F417)</f>
        <v>0</v>
      </c>
      <c r="G418" s="138">
        <f t="shared" si="28"/>
        <v>0</v>
      </c>
      <c r="H418" s="138">
        <f t="shared" si="28"/>
        <v>0</v>
      </c>
      <c r="I418" s="138">
        <f t="shared" si="28"/>
        <v>0</v>
      </c>
      <c r="J418" s="138">
        <f t="shared" si="28"/>
        <v>9647.2000000000007</v>
      </c>
      <c r="K418" s="138">
        <f t="shared" si="28"/>
        <v>0</v>
      </c>
      <c r="L418" s="47">
        <f t="shared" si="28"/>
        <v>9647.2000000000007</v>
      </c>
      <c r="M418" s="8"/>
    </row>
    <row r="419" spans="1:21" s="3" customFormat="1" ht="12" customHeight="1" x14ac:dyDescent="0.15">
      <c r="A419" s="77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8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8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8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8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8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8" t="s">
        <v>513</v>
      </c>
      <c r="B425" s="6">
        <v>17</v>
      </c>
      <c r="C425" s="6">
        <v>13</v>
      </c>
      <c r="D425" s="2" t="s">
        <v>433</v>
      </c>
      <c r="E425" s="6"/>
      <c r="F425" s="18">
        <v>2468</v>
      </c>
      <c r="G425" s="18"/>
      <c r="H425" s="18">
        <f>1242.31+3820</f>
        <v>5062.3099999999995</v>
      </c>
      <c r="I425" s="18">
        <f>7594.36+4612.32+980.3</f>
        <v>13186.98</v>
      </c>
      <c r="J425" s="18">
        <f>1980+7449.5</f>
        <v>9429.5</v>
      </c>
      <c r="K425" s="18">
        <v>75000</v>
      </c>
      <c r="L425" s="56">
        <f t="shared" si="29"/>
        <v>105146.79000000001</v>
      </c>
      <c r="M425" s="8"/>
    </row>
    <row r="426" spans="1:21" s="3" customFormat="1" ht="12" customHeight="1" thickTop="1" x14ac:dyDescent="0.15">
      <c r="A426" s="159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2468</v>
      </c>
      <c r="G426" s="47">
        <f t="shared" si="30"/>
        <v>0</v>
      </c>
      <c r="H426" s="47">
        <f t="shared" si="30"/>
        <v>5062.3099999999995</v>
      </c>
      <c r="I426" s="47">
        <f t="shared" si="30"/>
        <v>13186.98</v>
      </c>
      <c r="J426" s="47">
        <f t="shared" si="30"/>
        <v>9429.5</v>
      </c>
      <c r="K426" s="47">
        <f t="shared" si="30"/>
        <v>75000</v>
      </c>
      <c r="L426" s="47">
        <f t="shared" si="30"/>
        <v>105146.79000000001</v>
      </c>
      <c r="M426" s="8"/>
    </row>
    <row r="427" spans="1:21" s="11" customFormat="1" ht="12" customHeight="1" x14ac:dyDescent="0.15">
      <c r="A427" s="77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7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09" t="s">
        <v>909</v>
      </c>
      <c r="B428" s="6">
        <v>17</v>
      </c>
      <c r="C428" s="6">
        <v>15</v>
      </c>
      <c r="D428" s="2" t="s">
        <v>433</v>
      </c>
      <c r="E428" s="6"/>
      <c r="F428" s="18"/>
      <c r="G428" s="18"/>
      <c r="H428" s="18">
        <f>30590.85+119665.65</f>
        <v>150256.5</v>
      </c>
      <c r="I428" s="18"/>
      <c r="J428" s="18"/>
      <c r="K428" s="18"/>
      <c r="L428" s="56">
        <f>SUM(F428:K428)</f>
        <v>150256.5</v>
      </c>
      <c r="M428" s="67"/>
    </row>
    <row r="429" spans="1:21" s="58" customFormat="1" ht="12" customHeight="1" x14ac:dyDescent="0.15">
      <c r="A429" s="109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7"/>
    </row>
    <row r="430" spans="1:21" ht="12" customHeight="1" x14ac:dyDescent="0.2">
      <c r="A430" s="109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09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59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150256.5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150256.5</v>
      </c>
      <c r="M432" s="8"/>
    </row>
    <row r="433" spans="1:13" s="3" customFormat="1" ht="12" customHeight="1" thickTop="1" x14ac:dyDescent="0.15">
      <c r="A433" s="77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2468</v>
      </c>
      <c r="G433" s="47">
        <f t="shared" si="32"/>
        <v>0</v>
      </c>
      <c r="H433" s="47">
        <f t="shared" si="32"/>
        <v>155318.81</v>
      </c>
      <c r="I433" s="47">
        <f t="shared" si="32"/>
        <v>13186.98</v>
      </c>
      <c r="J433" s="47">
        <f t="shared" si="32"/>
        <v>19076.7</v>
      </c>
      <c r="K433" s="47">
        <f t="shared" si="32"/>
        <v>75000</v>
      </c>
      <c r="L433" s="47">
        <f t="shared" si="32"/>
        <v>265050.49</v>
      </c>
      <c r="M433" s="8"/>
    </row>
    <row r="434" spans="1:13" s="3" customFormat="1" ht="12" customHeight="1" x14ac:dyDescent="0.15">
      <c r="A434" s="77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f>4305703.49+600750.72</f>
        <v>4906454.21</v>
      </c>
      <c r="G438" s="18">
        <v>1049731.1499999999</v>
      </c>
      <c r="H438" s="18">
        <f>114429.35</f>
        <v>114429.35</v>
      </c>
      <c r="I438" s="56">
        <f t="shared" ref="I438:I444" si="33">SUM(F438:H438)</f>
        <v>6070614.709999999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8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>
        <f>4009480.13+475567.52</f>
        <v>4485047.6500000004</v>
      </c>
      <c r="I439" s="56">
        <f t="shared" si="33"/>
        <v>4485047.6500000004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8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>
        <v>224466.17</v>
      </c>
      <c r="H440" s="18">
        <v>17981.2</v>
      </c>
      <c r="I440" s="56">
        <f t="shared" si="33"/>
        <v>242447.37000000002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8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8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8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8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69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4906454.21</v>
      </c>
      <c r="G445" s="13">
        <f>SUM(G438:G444)</f>
        <v>1274197.3199999998</v>
      </c>
      <c r="H445" s="13">
        <f>SUM(H438:H444)</f>
        <v>4617458.2</v>
      </c>
      <c r="I445" s="13">
        <f>SUM(I438:I444)</f>
        <v>10798109.729999999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8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9647.2000000000007</v>
      </c>
      <c r="G447" s="18"/>
      <c r="H447" s="18"/>
      <c r="I447" s="56">
        <f>SUM(F447:H447)</f>
        <v>9647.2000000000007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8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8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8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3" t="s">
        <v>424</v>
      </c>
      <c r="B451" s="72">
        <v>18</v>
      </c>
      <c r="C451" s="70">
        <v>13</v>
      </c>
      <c r="D451" s="2" t="s">
        <v>433</v>
      </c>
      <c r="E451" s="70"/>
      <c r="F451" s="71">
        <f>SUM(F447:F450)</f>
        <v>9647.2000000000007</v>
      </c>
      <c r="G451" s="71">
        <f>SUM(G447:G450)</f>
        <v>0</v>
      </c>
      <c r="H451" s="71">
        <f>SUM(H447:H450)</f>
        <v>0</v>
      </c>
      <c r="I451" s="71">
        <f>SUM(I447:I450)</f>
        <v>9647.2000000000007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89" t="s">
        <v>8</v>
      </c>
      <c r="B452" s="36"/>
      <c r="C452" s="74"/>
      <c r="D452" s="74"/>
      <c r="E452" s="74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>
        <v>803.72</v>
      </c>
      <c r="H453" s="18"/>
      <c r="I453" s="56">
        <f t="shared" ref="I453:I458" si="34">SUM(F453:H453)</f>
        <v>803.72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7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f>4294652.67+600000+11050.82-8896.48</f>
        <v>4896807.01</v>
      </c>
      <c r="G458" s="18">
        <v>1273393.6000000001</v>
      </c>
      <c r="H458" s="18">
        <f>4124104.78+565850.75-72497.33</f>
        <v>4617458.1999999993</v>
      </c>
      <c r="I458" s="56">
        <f t="shared" si="34"/>
        <v>10787658.809999999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0">
        <v>18</v>
      </c>
      <c r="C459" s="51">
        <v>20</v>
      </c>
      <c r="D459" s="48" t="s">
        <v>433</v>
      </c>
      <c r="E459" s="51"/>
      <c r="F459" s="82">
        <f>SUM(F453:F458)</f>
        <v>4896807.01</v>
      </c>
      <c r="G459" s="82">
        <f>SUM(G453:G458)</f>
        <v>1274197.32</v>
      </c>
      <c r="H459" s="82">
        <f>SUM(H453:H458)</f>
        <v>4617458.1999999993</v>
      </c>
      <c r="I459" s="82">
        <f>SUM(I453:I458)</f>
        <v>10788462.529999999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0" t="s">
        <v>425</v>
      </c>
      <c r="B460" s="44">
        <v>18</v>
      </c>
      <c r="C460" s="81">
        <v>21</v>
      </c>
      <c r="D460" s="156" t="s">
        <v>433</v>
      </c>
      <c r="E460" s="81"/>
      <c r="F460" s="42">
        <f>F451+F459</f>
        <v>4906454.21</v>
      </c>
      <c r="G460" s="42">
        <f>G451+G459</f>
        <v>1274197.32</v>
      </c>
      <c r="H460" s="42">
        <f>H451+H459</f>
        <v>4617458.1999999993</v>
      </c>
      <c r="I460" s="42">
        <f>I451+I459</f>
        <v>10798109.729999999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1"/>
      <c r="B461" s="74"/>
      <c r="C461" s="79"/>
      <c r="D461" s="79"/>
      <c r="E461" s="79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1" t="s">
        <v>9</v>
      </c>
      <c r="B462" s="74"/>
      <c r="C462" s="79"/>
      <c r="D462" s="79"/>
      <c r="E462" s="79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1"/>
      <c r="B463" s="74"/>
      <c r="C463" s="79"/>
      <c r="D463" s="79"/>
      <c r="E463" s="79"/>
      <c r="F463" s="83" t="s">
        <v>10</v>
      </c>
      <c r="G463" s="83" t="s">
        <v>11</v>
      </c>
      <c r="H463" s="83" t="s">
        <v>12</v>
      </c>
      <c r="I463" s="83" t="s">
        <v>13</v>
      </c>
      <c r="J463" s="83" t="s">
        <v>14</v>
      </c>
      <c r="K463" s="53"/>
      <c r="L463" s="53"/>
    </row>
    <row r="464" spans="1:23" s="52" customFormat="1" ht="12" customHeight="1" x14ac:dyDescent="0.2">
      <c r="A464" s="188" t="s">
        <v>855</v>
      </c>
      <c r="B464" s="104">
        <v>19</v>
      </c>
      <c r="C464" s="110">
        <v>1</v>
      </c>
      <c r="D464" s="2" t="s">
        <v>433</v>
      </c>
      <c r="E464" s="110"/>
      <c r="F464" s="18">
        <v>0</v>
      </c>
      <c r="G464" s="18">
        <v>365588.46</v>
      </c>
      <c r="H464" s="18">
        <v>1700552.93</v>
      </c>
      <c r="I464" s="18">
        <v>2144734.5699999998</v>
      </c>
      <c r="J464" s="18">
        <v>10592947.23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3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2" t="s">
        <v>614</v>
      </c>
      <c r="B467" s="74">
        <v>19</v>
      </c>
      <c r="C467" s="79">
        <v>2</v>
      </c>
      <c r="D467" s="2" t="s">
        <v>433</v>
      </c>
      <c r="E467" s="79"/>
      <c r="F467" s="18">
        <f>F192</f>
        <v>135493910</v>
      </c>
      <c r="G467" s="18">
        <f>G192</f>
        <v>5070891.3899999997</v>
      </c>
      <c r="H467" s="18">
        <f>H192</f>
        <v>12242171.899999999</v>
      </c>
      <c r="I467" s="18">
        <f>I192</f>
        <v>7150000</v>
      </c>
      <c r="J467" s="18">
        <f>J192</f>
        <v>460565.79000000004</v>
      </c>
      <c r="K467" s="24" t="s">
        <v>289</v>
      </c>
      <c r="L467" s="24" t="s">
        <v>289</v>
      </c>
    </row>
    <row r="468" spans="1:12" s="52" customFormat="1" ht="12" customHeight="1" x14ac:dyDescent="0.2">
      <c r="A468" s="92" t="s">
        <v>615</v>
      </c>
      <c r="B468" s="74">
        <v>19</v>
      </c>
      <c r="C468" s="79">
        <v>3</v>
      </c>
      <c r="D468" s="2" t="s">
        <v>433</v>
      </c>
      <c r="E468" s="79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1" t="s">
        <v>426</v>
      </c>
      <c r="B469" s="74">
        <v>19</v>
      </c>
      <c r="C469" s="79">
        <v>4</v>
      </c>
      <c r="D469" s="2" t="s">
        <v>433</v>
      </c>
      <c r="E469" s="79"/>
      <c r="F469" s="53">
        <f>SUM(F467:F468)</f>
        <v>135493910</v>
      </c>
      <c r="G469" s="53">
        <f>SUM(G467:G468)</f>
        <v>5070891.3899999997</v>
      </c>
      <c r="H469" s="53">
        <f>SUM(H467:H468)</f>
        <v>12242171.899999999</v>
      </c>
      <c r="I469" s="53">
        <f>SUM(I467:I468)</f>
        <v>7150000</v>
      </c>
      <c r="J469" s="53">
        <f>SUM(J467:J468)</f>
        <v>460565.79000000004</v>
      </c>
      <c r="K469" s="24" t="s">
        <v>289</v>
      </c>
      <c r="L469" s="24" t="s">
        <v>289</v>
      </c>
    </row>
    <row r="470" spans="1:12" s="52" customFormat="1" ht="12" customHeight="1" x14ac:dyDescent="0.2">
      <c r="A470" s="93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2" t="s">
        <v>616</v>
      </c>
      <c r="B471" s="74">
        <v>19</v>
      </c>
      <c r="C471" s="79">
        <v>5</v>
      </c>
      <c r="D471" s="2" t="s">
        <v>433</v>
      </c>
      <c r="E471" s="79"/>
      <c r="F471" s="18">
        <v>135493910</v>
      </c>
      <c r="G471" s="18">
        <v>5051927.5599999996</v>
      </c>
      <c r="H471" s="18">
        <f>ROUND(12058324.56,2)</f>
        <v>12058324.560000001</v>
      </c>
      <c r="I471" s="18">
        <v>7752299</v>
      </c>
      <c r="J471" s="18">
        <f>114793.99+150256.5</f>
        <v>265050.49</v>
      </c>
      <c r="K471" s="24" t="s">
        <v>289</v>
      </c>
      <c r="L471" s="24" t="s">
        <v>289</v>
      </c>
    </row>
    <row r="472" spans="1:12" s="52" customFormat="1" ht="12" customHeight="1" x14ac:dyDescent="0.2">
      <c r="A472" s="92" t="s">
        <v>617</v>
      </c>
      <c r="B472" s="74">
        <v>19</v>
      </c>
      <c r="C472" s="79">
        <v>6</v>
      </c>
      <c r="D472" s="2" t="s">
        <v>433</v>
      </c>
      <c r="E472" s="79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1" t="s">
        <v>427</v>
      </c>
      <c r="B473" s="74">
        <v>19</v>
      </c>
      <c r="C473" s="79">
        <v>7</v>
      </c>
      <c r="D473" s="2" t="s">
        <v>433</v>
      </c>
      <c r="E473" s="79"/>
      <c r="F473" s="53">
        <f>SUM(F471:F472)</f>
        <v>135493910</v>
      </c>
      <c r="G473" s="53">
        <f>SUM(G471:G472)</f>
        <v>5051927.5599999996</v>
      </c>
      <c r="H473" s="53">
        <f>SUM(H471:H472)</f>
        <v>12058324.560000001</v>
      </c>
      <c r="I473" s="53">
        <f>SUM(I471:I472)</f>
        <v>7752299</v>
      </c>
      <c r="J473" s="53">
        <f>SUM(J471:J472)</f>
        <v>265050.49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89" t="s">
        <v>856</v>
      </c>
      <c r="B475" s="74">
        <v>19</v>
      </c>
      <c r="C475" s="114">
        <v>8</v>
      </c>
      <c r="D475" s="2" t="s">
        <v>433</v>
      </c>
      <c r="E475" s="114"/>
      <c r="F475" s="53">
        <f>(F464+F469)- F473</f>
        <v>0</v>
      </c>
      <c r="G475" s="53">
        <f>(G464+G469)- G473</f>
        <v>384552.29000000004</v>
      </c>
      <c r="H475" s="53">
        <f>(H464+H469)- H473</f>
        <v>1884400.2699999977</v>
      </c>
      <c r="I475" s="53">
        <f>(I464+I469)- I473</f>
        <v>1542435.5700000003</v>
      </c>
      <c r="J475" s="53">
        <f>(J464+J469)- J473</f>
        <v>10788462.529999999</v>
      </c>
      <c r="K475" s="24" t="s">
        <v>289</v>
      </c>
      <c r="L475" s="24" t="s">
        <v>289</v>
      </c>
    </row>
    <row r="476" spans="1:12" s="52" customFormat="1" ht="12" customHeight="1" x14ac:dyDescent="0.2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</row>
    <row r="477" spans="1:12" s="52" customFormat="1" ht="12" customHeight="1" x14ac:dyDescent="0.2">
      <c r="A477" s="94" t="s">
        <v>661</v>
      </c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</row>
    <row r="478" spans="1:12" s="52" customFormat="1" ht="12" customHeight="1" x14ac:dyDescent="0.2">
      <c r="A478" s="94" t="s">
        <v>699</v>
      </c>
      <c r="B478" s="111"/>
      <c r="C478" s="111"/>
      <c r="D478" s="111"/>
      <c r="E478" s="111"/>
      <c r="F478" s="111"/>
      <c r="G478" s="111"/>
      <c r="H478" s="111"/>
      <c r="I478" s="111" t="s">
        <v>17</v>
      </c>
      <c r="J478" s="111"/>
      <c r="K478" s="94"/>
      <c r="L478" s="94"/>
    </row>
    <row r="479" spans="1:12" s="52" customFormat="1" ht="12" customHeight="1" x14ac:dyDescent="0.2">
      <c r="A479" s="18"/>
      <c r="B479" s="111"/>
      <c r="C479" s="111"/>
      <c r="D479" s="111"/>
      <c r="E479" s="111"/>
      <c r="F479" s="111"/>
      <c r="G479" s="111"/>
      <c r="H479" s="111"/>
      <c r="I479" s="111" t="s">
        <v>402</v>
      </c>
      <c r="J479" s="111"/>
      <c r="K479" s="94"/>
      <c r="L479" s="94"/>
    </row>
    <row r="480" spans="1:12" s="52" customFormat="1" ht="12" customHeight="1" x14ac:dyDescent="0.2">
      <c r="A480" s="174"/>
      <c r="B480" s="111"/>
      <c r="C480" s="111"/>
      <c r="D480" s="111"/>
      <c r="E480" s="111"/>
      <c r="F480" s="111"/>
      <c r="G480" s="111"/>
      <c r="H480" s="111"/>
      <c r="I480" s="111" t="s">
        <v>654</v>
      </c>
      <c r="J480" s="111"/>
      <c r="K480" s="94"/>
      <c r="L480" s="94"/>
    </row>
    <row r="481" spans="1:12" s="52" customFormat="1" ht="12" customHeight="1" x14ac:dyDescent="0.2">
      <c r="A481" s="94" t="s">
        <v>700</v>
      </c>
      <c r="B481" s="111"/>
      <c r="C481" s="111"/>
      <c r="D481" s="111"/>
      <c r="E481" s="111"/>
      <c r="F481" s="111"/>
      <c r="G481" s="111"/>
      <c r="H481" s="111"/>
      <c r="I481" s="111" t="s">
        <v>474</v>
      </c>
      <c r="J481" s="111"/>
      <c r="K481" s="94"/>
      <c r="L481" s="94"/>
    </row>
    <row r="482" spans="1:12" s="52" customFormat="1" ht="12" customHeight="1" x14ac:dyDescent="0.2">
      <c r="A482" s="173"/>
      <c r="B482" s="111"/>
      <c r="C482" s="111"/>
      <c r="D482" s="111"/>
      <c r="E482" s="111"/>
      <c r="F482" s="111"/>
      <c r="G482" s="111"/>
      <c r="H482" s="111"/>
      <c r="I482" s="111" t="s">
        <v>18</v>
      </c>
      <c r="J482" s="111"/>
      <c r="K482" s="94"/>
      <c r="L482" s="94"/>
    </row>
    <row r="483" spans="1:12" s="52" customFormat="1" ht="12" customHeight="1" x14ac:dyDescent="0.2">
      <c r="A483" s="173"/>
      <c r="B483" s="111"/>
      <c r="C483" s="111"/>
      <c r="D483" s="111"/>
      <c r="E483" s="111"/>
      <c r="F483" s="111"/>
      <c r="G483" s="111"/>
      <c r="H483" s="111"/>
      <c r="I483" s="111" t="s">
        <v>475</v>
      </c>
      <c r="J483" s="111"/>
      <c r="K483" s="94"/>
      <c r="L483" s="94"/>
    </row>
    <row r="484" spans="1:12" s="52" customFormat="1" ht="12" customHeight="1" x14ac:dyDescent="0.2">
      <c r="A484" s="173"/>
      <c r="B484" s="111"/>
      <c r="C484" s="111"/>
      <c r="D484" s="111"/>
      <c r="E484" s="111"/>
      <c r="F484" s="111"/>
      <c r="G484" s="111"/>
      <c r="H484" s="111"/>
      <c r="I484" s="111" t="s">
        <v>476</v>
      </c>
      <c r="J484" s="111"/>
      <c r="K484" s="94"/>
      <c r="L484" s="94"/>
    </row>
    <row r="485" spans="1:12" s="52" customFormat="1" ht="12" customHeight="1" x14ac:dyDescent="0.2">
      <c r="A485" s="22"/>
      <c r="B485" s="111"/>
      <c r="C485" s="111"/>
      <c r="D485" s="111"/>
      <c r="E485" s="111"/>
      <c r="F485" s="111"/>
      <c r="G485" s="111"/>
      <c r="H485" s="111"/>
      <c r="I485" s="111"/>
      <c r="J485" s="111"/>
      <c r="K485" s="94"/>
      <c r="L485" s="94"/>
    </row>
    <row r="486" spans="1:12" s="52" customFormat="1" ht="12" customHeight="1" x14ac:dyDescent="0.2">
      <c r="A486" s="95" t="s">
        <v>19</v>
      </c>
      <c r="B486" s="104"/>
      <c r="C486" s="114"/>
      <c r="D486" s="114"/>
      <c r="E486" s="114"/>
      <c r="F486" s="115"/>
      <c r="G486" s="115"/>
      <c r="H486" s="115"/>
      <c r="I486" s="115"/>
      <c r="J486" s="115"/>
      <c r="K486" s="115"/>
      <c r="L486" s="115"/>
    </row>
    <row r="487" spans="1:12" s="52" customFormat="1" ht="12" customHeight="1" x14ac:dyDescent="0.2">
      <c r="A487" s="190" t="s">
        <v>857</v>
      </c>
      <c r="B487" s="104"/>
      <c r="C487" s="114"/>
      <c r="D487" s="114"/>
      <c r="E487" s="114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5"/>
    </row>
    <row r="488" spans="1:12" s="52" customFormat="1" ht="12" customHeight="1" x14ac:dyDescent="0.2">
      <c r="A488" s="95" t="s">
        <v>21</v>
      </c>
      <c r="B488" s="104"/>
      <c r="C488" s="114"/>
      <c r="D488" s="114"/>
      <c r="E488" s="114"/>
      <c r="F488" s="116" t="s">
        <v>22</v>
      </c>
      <c r="G488" s="116" t="s">
        <v>23</v>
      </c>
      <c r="H488" s="116" t="s">
        <v>24</v>
      </c>
      <c r="I488" s="116" t="s">
        <v>25</v>
      </c>
      <c r="J488" s="116" t="s">
        <v>26</v>
      </c>
      <c r="K488" s="116" t="s">
        <v>341</v>
      </c>
      <c r="L488" s="115"/>
    </row>
    <row r="489" spans="1:12" s="52" customFormat="1" ht="12" customHeight="1" x14ac:dyDescent="0.2">
      <c r="A489" s="22" t="s">
        <v>618</v>
      </c>
      <c r="B489" s="74">
        <v>20</v>
      </c>
      <c r="C489" s="114">
        <v>1</v>
      </c>
      <c r="D489" s="2" t="s">
        <v>433</v>
      </c>
      <c r="E489" s="114"/>
      <c r="F489" s="153"/>
      <c r="G489" s="153"/>
      <c r="H489" s="153"/>
      <c r="I489" s="153"/>
      <c r="J489" s="153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4">
        <v>20</v>
      </c>
      <c r="C490" s="114">
        <v>2</v>
      </c>
      <c r="D490" s="2" t="s">
        <v>433</v>
      </c>
      <c r="E490" s="114"/>
      <c r="F490" s="154"/>
      <c r="G490" s="154"/>
      <c r="H490" s="154"/>
      <c r="I490" s="154"/>
      <c r="J490" s="154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4">
        <v>20</v>
      </c>
      <c r="C491" s="114">
        <v>3</v>
      </c>
      <c r="D491" s="2" t="s">
        <v>433</v>
      </c>
      <c r="E491" s="114"/>
      <c r="F491" s="154"/>
      <c r="G491" s="154"/>
      <c r="H491" s="154"/>
      <c r="I491" s="154"/>
      <c r="J491" s="154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4">
        <v>20</v>
      </c>
      <c r="C492" s="114">
        <v>4</v>
      </c>
      <c r="D492" s="2" t="s">
        <v>433</v>
      </c>
      <c r="E492" s="114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4">
        <v>20</v>
      </c>
      <c r="C493" s="114">
        <v>5</v>
      </c>
      <c r="D493" s="2" t="s">
        <v>433</v>
      </c>
      <c r="E493" s="114"/>
      <c r="F493" s="18" t="s">
        <v>910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4">
        <v>20</v>
      </c>
      <c r="C494" s="114">
        <v>6</v>
      </c>
      <c r="D494" s="2" t="s">
        <v>433</v>
      </c>
      <c r="E494" s="114"/>
      <c r="F494" s="18">
        <v>67989994</v>
      </c>
      <c r="G494" s="18"/>
      <c r="H494" s="18"/>
      <c r="I494" s="18"/>
      <c r="J494" s="18"/>
      <c r="K494" s="53">
        <f>SUM(F494:J494)</f>
        <v>67989994</v>
      </c>
      <c r="L494" s="24" t="s">
        <v>289</v>
      </c>
    </row>
    <row r="495" spans="1:12" s="52" customFormat="1" ht="12" customHeight="1" x14ac:dyDescent="0.2">
      <c r="A495" s="22" t="s">
        <v>624</v>
      </c>
      <c r="B495" s="74">
        <v>20</v>
      </c>
      <c r="C495" s="114">
        <v>7</v>
      </c>
      <c r="D495" s="2" t="s">
        <v>433</v>
      </c>
      <c r="E495" s="114"/>
      <c r="F495" s="18">
        <v>27790000</v>
      </c>
      <c r="G495" s="18"/>
      <c r="H495" s="18"/>
      <c r="I495" s="18"/>
      <c r="J495" s="18"/>
      <c r="K495" s="53">
        <f t="shared" ref="K495:K502" si="35">SUM(F495:J495)</f>
        <v>27790000</v>
      </c>
      <c r="L495" s="24" t="s">
        <v>289</v>
      </c>
    </row>
    <row r="496" spans="1:12" s="52" customFormat="1" ht="12" customHeight="1" x14ac:dyDescent="0.2">
      <c r="A496" s="22" t="s">
        <v>625</v>
      </c>
      <c r="B496" s="74">
        <v>20</v>
      </c>
      <c r="C496" s="114">
        <v>8</v>
      </c>
      <c r="D496" s="2" t="s">
        <v>433</v>
      </c>
      <c r="E496" s="114"/>
      <c r="F496" s="18">
        <v>9313522</v>
      </c>
      <c r="G496" s="18"/>
      <c r="H496" s="18"/>
      <c r="I496" s="18"/>
      <c r="J496" s="18"/>
      <c r="K496" s="53">
        <f t="shared" si="35"/>
        <v>9313522</v>
      </c>
      <c r="L496" s="24" t="s">
        <v>289</v>
      </c>
    </row>
    <row r="497" spans="1:12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86466472</v>
      </c>
      <c r="G497" s="204"/>
      <c r="H497" s="204"/>
      <c r="I497" s="204"/>
      <c r="J497" s="204"/>
      <c r="K497" s="205">
        <f t="shared" si="35"/>
        <v>86466472</v>
      </c>
      <c r="L497" s="206" t="s">
        <v>289</v>
      </c>
    </row>
    <row r="498" spans="1:12" s="52" customFormat="1" ht="12" customHeight="1" thickBot="1" x14ac:dyDescent="0.25">
      <c r="A498" s="22" t="s">
        <v>627</v>
      </c>
      <c r="B498" s="74">
        <v>20</v>
      </c>
      <c r="C498" s="114">
        <v>10</v>
      </c>
      <c r="D498" s="2" t="s">
        <v>433</v>
      </c>
      <c r="E498" s="114"/>
      <c r="F498" s="18">
        <v>20572063</v>
      </c>
      <c r="G498" s="18"/>
      <c r="H498" s="18"/>
      <c r="I498" s="18"/>
      <c r="J498" s="18"/>
      <c r="K498" s="53">
        <f t="shared" si="35"/>
        <v>20572063</v>
      </c>
      <c r="L498" s="24" t="s">
        <v>289</v>
      </c>
    </row>
    <row r="499" spans="1:12" s="52" customFormat="1" ht="12" customHeight="1" thickTop="1" x14ac:dyDescent="0.2">
      <c r="A499" s="138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107038535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107038535</v>
      </c>
      <c r="L499" s="45" t="s">
        <v>289</v>
      </c>
    </row>
    <row r="500" spans="1:12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9460735</v>
      </c>
      <c r="G500" s="204"/>
      <c r="H500" s="204"/>
      <c r="I500" s="204"/>
      <c r="J500" s="204"/>
      <c r="K500" s="205">
        <f t="shared" si="35"/>
        <v>9460735</v>
      </c>
      <c r="L500" s="206" t="s">
        <v>289</v>
      </c>
    </row>
    <row r="501" spans="1:12" s="52" customFormat="1" ht="12" customHeight="1" thickBot="1" x14ac:dyDescent="0.25">
      <c r="A501" s="22" t="s">
        <v>629</v>
      </c>
      <c r="B501" s="74">
        <v>20</v>
      </c>
      <c r="C501" s="114">
        <v>13</v>
      </c>
      <c r="D501" s="2" t="s">
        <v>433</v>
      </c>
      <c r="E501" s="114"/>
      <c r="F501" s="18">
        <v>3618699</v>
      </c>
      <c r="G501" s="18"/>
      <c r="H501" s="18"/>
      <c r="I501" s="18"/>
      <c r="J501" s="18"/>
      <c r="K501" s="53">
        <f t="shared" si="35"/>
        <v>3618699</v>
      </c>
      <c r="L501" s="24" t="s">
        <v>289</v>
      </c>
    </row>
    <row r="502" spans="1:12" s="52" customFormat="1" ht="12" customHeight="1" thickTop="1" x14ac:dyDescent="0.2">
      <c r="A502" s="138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13079434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13079434</v>
      </c>
      <c r="L502" s="45" t="s">
        <v>289</v>
      </c>
    </row>
    <row r="503" spans="1:12" s="52" customFormat="1" ht="12" customHeight="1" x14ac:dyDescent="0.2">
      <c r="A503" s="95"/>
      <c r="B503" s="104"/>
      <c r="C503" s="114"/>
      <c r="D503" s="114"/>
      <c r="E503" s="114"/>
      <c r="F503" s="102"/>
      <c r="G503" s="102"/>
      <c r="H503" s="105"/>
      <c r="I503" s="105"/>
      <c r="J503" s="105"/>
      <c r="K503" s="105"/>
      <c r="L503" s="105"/>
    </row>
    <row r="504" spans="1:12" s="52" customFormat="1" ht="12" customHeight="1" x14ac:dyDescent="0.2"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</row>
    <row r="505" spans="1:12" s="52" customFormat="1" ht="12" customHeight="1" x14ac:dyDescent="0.2">
      <c r="B505" s="104"/>
      <c r="F505" s="52" t="s">
        <v>41</v>
      </c>
      <c r="G505" s="102" t="s">
        <v>42</v>
      </c>
      <c r="H505" s="102" t="s">
        <v>43</v>
      </c>
      <c r="I505" s="105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5" t="s">
        <v>40</v>
      </c>
      <c r="B506" s="104">
        <v>20</v>
      </c>
      <c r="C506" s="114">
        <v>15</v>
      </c>
      <c r="D506" s="2" t="s">
        <v>433</v>
      </c>
      <c r="E506" s="114"/>
      <c r="F506" s="143">
        <v>10518007.470000001</v>
      </c>
      <c r="G506" s="143"/>
      <c r="H506" s="143">
        <v>199597.53</v>
      </c>
      <c r="I506" s="143">
        <f>F506+G506-H506</f>
        <v>10318409.940000001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5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6" t="s">
        <v>858</v>
      </c>
      <c r="B508" s="22"/>
      <c r="C508" s="22"/>
      <c r="D508" s="22"/>
      <c r="E508" s="22"/>
      <c r="F508" s="121" t="s">
        <v>46</v>
      </c>
      <c r="G508" s="121"/>
      <c r="H508" s="122" t="s">
        <v>47</v>
      </c>
      <c r="I508" s="122"/>
      <c r="J508" s="53"/>
      <c r="K508" s="53"/>
      <c r="L508" s="53"/>
    </row>
    <row r="509" spans="1:12" s="52" customFormat="1" ht="12" customHeight="1" x14ac:dyDescent="0.2">
      <c r="A509" s="95"/>
      <c r="B509" s="22"/>
      <c r="C509" s="22"/>
      <c r="D509" s="22"/>
      <c r="E509" s="22"/>
      <c r="F509" s="112" t="s">
        <v>48</v>
      </c>
      <c r="G509" s="112" t="s">
        <v>49</v>
      </c>
      <c r="H509" s="113" t="s">
        <v>48</v>
      </c>
      <c r="I509" s="113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4">
        <v>20</v>
      </c>
      <c r="C510" s="114">
        <v>16</v>
      </c>
      <c r="D510" s="2" t="s">
        <v>433</v>
      </c>
      <c r="E510" s="114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4">
        <v>20</v>
      </c>
      <c r="C511" s="114">
        <v>17</v>
      </c>
      <c r="D511" s="2" t="s">
        <v>433</v>
      </c>
      <c r="E511" s="114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4">
        <v>20</v>
      </c>
      <c r="C512" s="114">
        <v>18</v>
      </c>
      <c r="D512" s="2" t="s">
        <v>433</v>
      </c>
      <c r="E512" s="114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4">
        <v>20</v>
      </c>
      <c r="C513" s="114">
        <v>19</v>
      </c>
      <c r="D513" s="2" t="s">
        <v>433</v>
      </c>
      <c r="E513" s="114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4">
        <v>20</v>
      </c>
      <c r="C514" s="114">
        <v>20</v>
      </c>
      <c r="D514" s="2" t="s">
        <v>433</v>
      </c>
      <c r="E514" s="114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4">
        <v>20</v>
      </c>
      <c r="C515" s="114">
        <v>21</v>
      </c>
      <c r="D515" s="2" t="s">
        <v>433</v>
      </c>
      <c r="E515" s="114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5" t="s">
        <v>428</v>
      </c>
      <c r="B516" s="74">
        <v>20</v>
      </c>
      <c r="C516" s="114">
        <v>22</v>
      </c>
      <c r="D516" s="2" t="s">
        <v>433</v>
      </c>
      <c r="E516" s="114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5" t="s">
        <v>702</v>
      </c>
      <c r="B517" s="104"/>
      <c r="C517" s="114"/>
      <c r="D517" s="114"/>
      <c r="E517" s="114"/>
      <c r="F517" s="176" t="s">
        <v>693</v>
      </c>
      <c r="G517" s="176" t="s">
        <v>694</v>
      </c>
      <c r="H517" s="176" t="s">
        <v>695</v>
      </c>
      <c r="I517" s="176" t="s">
        <v>696</v>
      </c>
      <c r="J517" s="176" t="s">
        <v>697</v>
      </c>
      <c r="K517" s="176" t="s">
        <v>698</v>
      </c>
      <c r="L517" s="105"/>
    </row>
    <row r="518" spans="1:13" s="52" customFormat="1" ht="12" customHeight="1" x14ac:dyDescent="0.2">
      <c r="A518" s="177" t="s">
        <v>701</v>
      </c>
      <c r="B518" s="104"/>
      <c r="C518" s="114"/>
      <c r="D518" s="114"/>
      <c r="E518" s="114"/>
      <c r="F518" s="102" t="s">
        <v>54</v>
      </c>
      <c r="G518" s="102" t="s">
        <v>55</v>
      </c>
      <c r="H518" s="105" t="s">
        <v>56</v>
      </c>
      <c r="I518" s="105" t="s">
        <v>57</v>
      </c>
      <c r="J518" s="105" t="s">
        <v>58</v>
      </c>
      <c r="K518" s="105" t="s">
        <v>59</v>
      </c>
      <c r="L518" s="105" t="s">
        <v>5</v>
      </c>
    </row>
    <row r="519" spans="1:13" s="52" customFormat="1" ht="12" customHeight="1" x14ac:dyDescent="0.2">
      <c r="A519" s="95" t="s">
        <v>60</v>
      </c>
      <c r="B519" s="104"/>
      <c r="C519" s="114"/>
      <c r="D519" s="114"/>
      <c r="E519" s="114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4">
        <v>21</v>
      </c>
      <c r="C520" s="114">
        <v>1</v>
      </c>
      <c r="D520" s="2" t="s">
        <v>433</v>
      </c>
      <c r="E520" s="114"/>
      <c r="F520" s="18">
        <v>7556738.0499999989</v>
      </c>
      <c r="G520" s="18">
        <v>2706631.8800000004</v>
      </c>
      <c r="H520" s="18">
        <v>710902.3899999999</v>
      </c>
      <c r="I520" s="18">
        <v>87586.860000000015</v>
      </c>
      <c r="J520" s="18">
        <v>80308.500000000015</v>
      </c>
      <c r="K520" s="18">
        <v>0</v>
      </c>
      <c r="L520" s="87">
        <f>SUM(F520:K520)</f>
        <v>11142167.68</v>
      </c>
    </row>
    <row r="521" spans="1:13" s="52" customFormat="1" ht="12" customHeight="1" x14ac:dyDescent="0.2">
      <c r="A521" s="22" t="s">
        <v>638</v>
      </c>
      <c r="B521" s="104">
        <v>21</v>
      </c>
      <c r="C521" s="114">
        <v>2</v>
      </c>
      <c r="D521" s="2" t="s">
        <v>433</v>
      </c>
      <c r="E521" s="114"/>
      <c r="F521" s="18">
        <v>2630264.1799999997</v>
      </c>
      <c r="G521" s="18">
        <v>949243.56</v>
      </c>
      <c r="H521" s="18">
        <v>583783.65</v>
      </c>
      <c r="I521" s="18">
        <v>27236.559999999998</v>
      </c>
      <c r="J521" s="18">
        <v>20128.400000000001</v>
      </c>
      <c r="K521" s="18">
        <v>0</v>
      </c>
      <c r="L521" s="87">
        <f>SUM(F521:K521)</f>
        <v>4210656.3499999996</v>
      </c>
    </row>
    <row r="522" spans="1:13" s="52" customFormat="1" ht="12" customHeight="1" thickBot="1" x14ac:dyDescent="0.25">
      <c r="A522" s="22" t="s">
        <v>639</v>
      </c>
      <c r="B522" s="104">
        <v>21</v>
      </c>
      <c r="C522" s="114">
        <v>3</v>
      </c>
      <c r="D522" s="2" t="s">
        <v>433</v>
      </c>
      <c r="E522" s="114"/>
      <c r="F522" s="18">
        <v>2726546.9499999997</v>
      </c>
      <c r="G522" s="18">
        <v>1047939.8199999998</v>
      </c>
      <c r="H522" s="18">
        <v>2830954.66</v>
      </c>
      <c r="I522" s="18">
        <v>32630.370000000003</v>
      </c>
      <c r="J522" s="18">
        <v>26900.57</v>
      </c>
      <c r="K522" s="18">
        <v>0</v>
      </c>
      <c r="L522" s="87">
        <f>SUM(F522:K522)</f>
        <v>6664972.3700000001</v>
      </c>
    </row>
    <row r="523" spans="1:13" s="52" customFormat="1" ht="12" customHeight="1" thickTop="1" x14ac:dyDescent="0.2">
      <c r="A523" s="138" t="s">
        <v>63</v>
      </c>
      <c r="B523" s="106">
        <v>21</v>
      </c>
      <c r="C523" s="195">
        <v>4</v>
      </c>
      <c r="D523" s="196" t="s">
        <v>433</v>
      </c>
      <c r="E523" s="195"/>
      <c r="F523" s="107">
        <f>SUM(F520:F522)</f>
        <v>12913549.179999998</v>
      </c>
      <c r="G523" s="107">
        <f t="shared" ref="G523:L523" si="36">SUM(G520:G522)</f>
        <v>4703815.26</v>
      </c>
      <c r="H523" s="107">
        <f t="shared" si="36"/>
        <v>4125640.7</v>
      </c>
      <c r="I523" s="107">
        <f t="shared" si="36"/>
        <v>147453.79</v>
      </c>
      <c r="J523" s="107">
        <f t="shared" si="36"/>
        <v>127337.47000000003</v>
      </c>
      <c r="K523" s="107">
        <f t="shared" si="36"/>
        <v>0</v>
      </c>
      <c r="L523" s="88">
        <f t="shared" si="36"/>
        <v>22017796.399999999</v>
      </c>
    </row>
    <row r="524" spans="1:13" s="52" customFormat="1" ht="12" customHeight="1" x14ac:dyDescent="0.2">
      <c r="A524" s="95" t="s">
        <v>64</v>
      </c>
      <c r="B524" s="104"/>
      <c r="C524" s="114"/>
      <c r="D524" s="114"/>
      <c r="E524" s="114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4">
        <v>21</v>
      </c>
      <c r="C525" s="114">
        <v>5</v>
      </c>
      <c r="D525" s="2" t="s">
        <v>433</v>
      </c>
      <c r="E525" s="114"/>
      <c r="F525" s="18">
        <v>1395871.2800000003</v>
      </c>
      <c r="G525" s="18">
        <v>512954.78</v>
      </c>
      <c r="H525" s="18">
        <v>471631.93</v>
      </c>
      <c r="I525" s="18">
        <v>15885.53</v>
      </c>
      <c r="J525" s="18">
        <v>488.67</v>
      </c>
      <c r="K525" s="18">
        <v>0</v>
      </c>
      <c r="L525" s="87">
        <f>SUM(F525:K525)</f>
        <v>2396832.19</v>
      </c>
      <c r="M525" s="8"/>
    </row>
    <row r="526" spans="1:13" s="3" customFormat="1" ht="12" customHeight="1" x14ac:dyDescent="0.15">
      <c r="A526" s="22" t="s">
        <v>638</v>
      </c>
      <c r="B526" s="104">
        <v>21</v>
      </c>
      <c r="C526" s="114">
        <v>6</v>
      </c>
      <c r="D526" s="2" t="s">
        <v>433</v>
      </c>
      <c r="E526" s="114"/>
      <c r="F526" s="18">
        <v>597432.9</v>
      </c>
      <c r="G526" s="18">
        <v>219544.63999999998</v>
      </c>
      <c r="H526" s="18">
        <v>201858.46000000002</v>
      </c>
      <c r="I526" s="18">
        <v>6114.29</v>
      </c>
      <c r="J526" s="18">
        <v>209.15</v>
      </c>
      <c r="K526" s="18">
        <v>0</v>
      </c>
      <c r="L526" s="87">
        <f>SUM(F526:K526)</f>
        <v>1025159.4400000001</v>
      </c>
      <c r="M526" s="8"/>
    </row>
    <row r="527" spans="1:13" s="3" customFormat="1" ht="12" customHeight="1" thickBot="1" x14ac:dyDescent="0.2">
      <c r="A527" s="22" t="s">
        <v>639</v>
      </c>
      <c r="B527" s="117">
        <v>21</v>
      </c>
      <c r="C527" s="117">
        <v>7</v>
      </c>
      <c r="D527" s="2" t="s">
        <v>433</v>
      </c>
      <c r="E527" s="117"/>
      <c r="F527" s="18">
        <v>798438.37000000011</v>
      </c>
      <c r="G527" s="18">
        <v>293410.12999999995</v>
      </c>
      <c r="H527" s="18">
        <v>269773.46999999997</v>
      </c>
      <c r="I527" s="18">
        <v>8171.43</v>
      </c>
      <c r="J527" s="18">
        <v>279.52</v>
      </c>
      <c r="K527" s="18">
        <v>0</v>
      </c>
      <c r="L527" s="87">
        <f>SUM(F527:K527)</f>
        <v>1370072.92</v>
      </c>
      <c r="M527" s="8"/>
    </row>
    <row r="528" spans="1:13" s="3" customFormat="1" ht="12" customHeight="1" thickTop="1" x14ac:dyDescent="0.15">
      <c r="A528" s="138" t="s">
        <v>65</v>
      </c>
      <c r="B528" s="106">
        <v>21</v>
      </c>
      <c r="C528" s="106">
        <v>8</v>
      </c>
      <c r="D528" s="157" t="s">
        <v>433</v>
      </c>
      <c r="E528" s="106"/>
      <c r="F528" s="88">
        <f>SUM(F525:F527)</f>
        <v>2791742.5500000003</v>
      </c>
      <c r="G528" s="88">
        <f t="shared" ref="G528:L528" si="37">SUM(G525:G527)</f>
        <v>1025909.55</v>
      </c>
      <c r="H528" s="88">
        <f t="shared" si="37"/>
        <v>943263.86</v>
      </c>
      <c r="I528" s="88">
        <f t="shared" si="37"/>
        <v>30171.25</v>
      </c>
      <c r="J528" s="88">
        <f t="shared" si="37"/>
        <v>977.34</v>
      </c>
      <c r="K528" s="88">
        <f t="shared" si="37"/>
        <v>0</v>
      </c>
      <c r="L528" s="88">
        <f t="shared" si="37"/>
        <v>4792064.55</v>
      </c>
      <c r="M528" s="8"/>
    </row>
    <row r="529" spans="1:13" s="3" customFormat="1" ht="12" customHeight="1" x14ac:dyDescent="0.15">
      <c r="A529" s="96" t="s">
        <v>66</v>
      </c>
      <c r="B529" s="104"/>
      <c r="C529" s="104"/>
      <c r="D529" s="104"/>
      <c r="E529" s="104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4">
        <v>21</v>
      </c>
      <c r="C530" s="104">
        <v>9</v>
      </c>
      <c r="D530" s="2" t="s">
        <v>433</v>
      </c>
      <c r="E530" s="104"/>
      <c r="F530" s="18">
        <v>182712.68</v>
      </c>
      <c r="G530" s="18">
        <v>68403.87</v>
      </c>
      <c r="H530" s="18">
        <v>57828.39</v>
      </c>
      <c r="I530" s="18">
        <v>82</v>
      </c>
      <c r="J530" s="18">
        <v>0</v>
      </c>
      <c r="K530" s="18">
        <v>0</v>
      </c>
      <c r="L530" s="87">
        <f>SUM(F530:K530)</f>
        <v>309026.94</v>
      </c>
      <c r="M530" s="8"/>
    </row>
    <row r="531" spans="1:13" s="3" customFormat="1" ht="12" customHeight="1" x14ac:dyDescent="0.15">
      <c r="A531" s="22" t="s">
        <v>638</v>
      </c>
      <c r="B531" s="104">
        <v>21</v>
      </c>
      <c r="C531" s="104">
        <v>10</v>
      </c>
      <c r="D531" s="2" t="s">
        <v>433</v>
      </c>
      <c r="E531" s="104"/>
      <c r="F531" s="18">
        <v>78201.02</v>
      </c>
      <c r="G531" s="18">
        <v>29276.85</v>
      </c>
      <c r="H531" s="18">
        <v>24750.55</v>
      </c>
      <c r="I531" s="18">
        <v>35.1</v>
      </c>
      <c r="J531" s="18">
        <v>0</v>
      </c>
      <c r="K531" s="18">
        <v>0</v>
      </c>
      <c r="L531" s="87">
        <f>SUM(F531:K531)</f>
        <v>132263.51999999999</v>
      </c>
      <c r="M531" s="8"/>
    </row>
    <row r="532" spans="1:13" s="3" customFormat="1" ht="12" customHeight="1" thickBot="1" x14ac:dyDescent="0.2">
      <c r="A532" s="22" t="s">
        <v>639</v>
      </c>
      <c r="B532" s="104">
        <v>21</v>
      </c>
      <c r="C532" s="104">
        <v>11</v>
      </c>
      <c r="D532" s="2" t="s">
        <v>433</v>
      </c>
      <c r="E532" s="104"/>
      <c r="F532" s="18">
        <v>104511.65</v>
      </c>
      <c r="G532" s="18">
        <v>39127.01</v>
      </c>
      <c r="H532" s="18">
        <v>33077.839999999997</v>
      </c>
      <c r="I532" s="18">
        <v>46.9</v>
      </c>
      <c r="J532" s="18">
        <v>0</v>
      </c>
      <c r="K532" s="18">
        <v>0</v>
      </c>
      <c r="L532" s="87">
        <f>SUM(F532:K532)</f>
        <v>176763.4</v>
      </c>
      <c r="M532" s="8"/>
    </row>
    <row r="533" spans="1:13" s="3" customFormat="1" ht="12" customHeight="1" thickTop="1" x14ac:dyDescent="0.15">
      <c r="A533" s="138" t="s">
        <v>67</v>
      </c>
      <c r="B533" s="106">
        <v>21</v>
      </c>
      <c r="C533" s="106">
        <v>12</v>
      </c>
      <c r="D533" s="157" t="s">
        <v>433</v>
      </c>
      <c r="E533" s="106"/>
      <c r="F533" s="88">
        <f>SUM(F530:F532)</f>
        <v>365425.35</v>
      </c>
      <c r="G533" s="88">
        <f t="shared" ref="G533:L533" si="38">SUM(G530:G532)</f>
        <v>136807.73000000001</v>
      </c>
      <c r="H533" s="88">
        <f t="shared" si="38"/>
        <v>115656.78</v>
      </c>
      <c r="I533" s="88">
        <f t="shared" si="38"/>
        <v>164</v>
      </c>
      <c r="J533" s="88">
        <f t="shared" si="38"/>
        <v>0</v>
      </c>
      <c r="K533" s="88">
        <f t="shared" si="38"/>
        <v>0</v>
      </c>
      <c r="L533" s="88">
        <f t="shared" si="38"/>
        <v>618053.86</v>
      </c>
      <c r="M533" s="8"/>
    </row>
    <row r="534" spans="1:13" s="3" customFormat="1" ht="12" customHeight="1" x14ac:dyDescent="0.15">
      <c r="A534" s="96" t="s">
        <v>68</v>
      </c>
      <c r="B534" s="104"/>
      <c r="C534" s="104"/>
      <c r="D534" s="104"/>
      <c r="E534" s="104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</row>
    <row r="535" spans="1:13" s="3" customFormat="1" ht="12" customHeight="1" x14ac:dyDescent="0.15">
      <c r="A535" s="22" t="s">
        <v>637</v>
      </c>
      <c r="B535" s="104">
        <v>21</v>
      </c>
      <c r="C535" s="104">
        <v>13</v>
      </c>
      <c r="D535" s="2" t="s">
        <v>433</v>
      </c>
      <c r="E535" s="104"/>
      <c r="F535" s="18"/>
      <c r="G535" s="18"/>
      <c r="H535" s="18"/>
      <c r="I535" s="18"/>
      <c r="J535" s="18"/>
      <c r="K535" s="18"/>
      <c r="L535" s="87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4">
        <v>21</v>
      </c>
      <c r="C536" s="104">
        <v>14</v>
      </c>
      <c r="D536" s="2" t="s">
        <v>433</v>
      </c>
      <c r="E536" s="104"/>
      <c r="F536" s="18"/>
      <c r="G536" s="18"/>
      <c r="H536" s="18"/>
      <c r="I536" s="18"/>
      <c r="J536" s="18"/>
      <c r="K536" s="18"/>
      <c r="L536" s="87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4">
        <v>21</v>
      </c>
      <c r="C537" s="104">
        <v>15</v>
      </c>
      <c r="D537" s="2" t="s">
        <v>433</v>
      </c>
      <c r="E537" s="104"/>
      <c r="F537" s="18"/>
      <c r="G537" s="18"/>
      <c r="H537" s="18"/>
      <c r="I537" s="18"/>
      <c r="J537" s="18"/>
      <c r="K537" s="18"/>
      <c r="L537" s="87">
        <f>SUM(F537:K537)</f>
        <v>0</v>
      </c>
      <c r="M537" s="8"/>
    </row>
    <row r="538" spans="1:13" s="3" customFormat="1" ht="12" customHeight="1" thickTop="1" x14ac:dyDescent="0.15">
      <c r="A538" s="138" t="s">
        <v>69</v>
      </c>
      <c r="B538" s="106">
        <v>21</v>
      </c>
      <c r="C538" s="106">
        <v>16</v>
      </c>
      <c r="D538" s="157" t="s">
        <v>433</v>
      </c>
      <c r="E538" s="106"/>
      <c r="F538" s="88">
        <f>SUM(F535:F537)</f>
        <v>0</v>
      </c>
      <c r="G538" s="88">
        <f t="shared" ref="G538:L538" si="39">SUM(G535:G537)</f>
        <v>0</v>
      </c>
      <c r="H538" s="88">
        <f t="shared" si="39"/>
        <v>0</v>
      </c>
      <c r="I538" s="88">
        <f t="shared" si="39"/>
        <v>0</v>
      </c>
      <c r="J538" s="88">
        <f t="shared" si="39"/>
        <v>0</v>
      </c>
      <c r="K538" s="88">
        <f t="shared" si="39"/>
        <v>0</v>
      </c>
      <c r="L538" s="88">
        <f t="shared" si="39"/>
        <v>0</v>
      </c>
      <c r="M538" s="8"/>
    </row>
    <row r="539" spans="1:13" s="3" customFormat="1" ht="12" customHeight="1" x14ac:dyDescent="0.15">
      <c r="A539" s="96" t="s">
        <v>70</v>
      </c>
      <c r="B539" s="104"/>
      <c r="C539" s="104"/>
      <c r="D539" s="104"/>
      <c r="E539" s="104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4">
        <v>21</v>
      </c>
      <c r="C540" s="104">
        <v>17</v>
      </c>
      <c r="D540" s="2" t="s">
        <v>433</v>
      </c>
      <c r="E540" s="104"/>
      <c r="F540" s="18"/>
      <c r="G540" s="18"/>
      <c r="H540" s="18">
        <v>912646.06</v>
      </c>
      <c r="I540" s="18"/>
      <c r="J540" s="18"/>
      <c r="K540" s="18"/>
      <c r="L540" s="87">
        <f>SUM(F540:K540)</f>
        <v>912646.06</v>
      </c>
      <c r="M540" s="8"/>
    </row>
    <row r="541" spans="1:13" s="3" customFormat="1" ht="12" customHeight="1" x14ac:dyDescent="0.15">
      <c r="A541" s="22" t="s">
        <v>638</v>
      </c>
      <c r="B541" s="104">
        <v>21</v>
      </c>
      <c r="C541" s="104">
        <v>18</v>
      </c>
      <c r="D541" s="2" t="s">
        <v>433</v>
      </c>
      <c r="E541" s="104"/>
      <c r="F541" s="18"/>
      <c r="G541" s="18"/>
      <c r="H541" s="18">
        <v>912646.06</v>
      </c>
      <c r="I541" s="18"/>
      <c r="J541" s="18"/>
      <c r="K541" s="18"/>
      <c r="L541" s="87">
        <f>SUM(F541:K541)</f>
        <v>912646.06</v>
      </c>
      <c r="M541" s="8"/>
    </row>
    <row r="542" spans="1:13" s="3" customFormat="1" ht="12" customHeight="1" thickBot="1" x14ac:dyDescent="0.2">
      <c r="A542" s="22" t="s">
        <v>639</v>
      </c>
      <c r="B542" s="104">
        <v>21</v>
      </c>
      <c r="C542" s="104">
        <v>19</v>
      </c>
      <c r="D542" s="2" t="s">
        <v>433</v>
      </c>
      <c r="E542" s="104"/>
      <c r="F542" s="18"/>
      <c r="G542" s="18"/>
      <c r="H542" s="18">
        <v>470095.35</v>
      </c>
      <c r="I542" s="18"/>
      <c r="J542" s="18"/>
      <c r="K542" s="18"/>
      <c r="L542" s="87">
        <f>SUM(F542:K542)</f>
        <v>470095.35</v>
      </c>
      <c r="M542" s="8"/>
    </row>
    <row r="543" spans="1:13" s="3" customFormat="1" ht="12" customHeight="1" thickTop="1" thickBot="1" x14ac:dyDescent="0.2">
      <c r="A543" s="129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2295387.4700000002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2295387.4700000002</v>
      </c>
      <c r="M543" s="8"/>
    </row>
    <row r="544" spans="1:13" s="3" customFormat="1" ht="12" customHeight="1" thickTop="1" x14ac:dyDescent="0.15">
      <c r="A544" s="97" t="s">
        <v>72</v>
      </c>
      <c r="B544" s="106">
        <v>21</v>
      </c>
      <c r="C544" s="106">
        <v>21</v>
      </c>
      <c r="D544" s="157" t="s">
        <v>433</v>
      </c>
      <c r="E544" s="106"/>
      <c r="F544" s="88">
        <f>F523+F528+F533+F538+F543</f>
        <v>16070717.079999998</v>
      </c>
      <c r="G544" s="88">
        <f t="shared" ref="G544:L544" si="41">G523+G528+G533+G538+G543</f>
        <v>5866532.54</v>
      </c>
      <c r="H544" s="88">
        <f t="shared" si="41"/>
        <v>7479948.8100000005</v>
      </c>
      <c r="I544" s="88">
        <f t="shared" si="41"/>
        <v>177789.04</v>
      </c>
      <c r="J544" s="88">
        <f t="shared" si="41"/>
        <v>128314.81000000003</v>
      </c>
      <c r="K544" s="88">
        <f t="shared" si="41"/>
        <v>0</v>
      </c>
      <c r="L544" s="88">
        <f t="shared" si="41"/>
        <v>29723302.279999997</v>
      </c>
      <c r="M544" s="8"/>
    </row>
    <row r="545" spans="1:13" s="3" customFormat="1" ht="12" customHeight="1" x14ac:dyDescent="0.15">
      <c r="A545" s="98"/>
      <c r="B545" s="104"/>
      <c r="C545" s="104"/>
      <c r="D545" s="104"/>
      <c r="E545" s="104"/>
      <c r="F545" s="86"/>
      <c r="G545" s="86"/>
      <c r="H545" s="86"/>
      <c r="I545" s="86"/>
      <c r="J545" s="86"/>
      <c r="K545" s="86"/>
      <c r="L545" s="86"/>
      <c r="M545" s="8"/>
    </row>
    <row r="546" spans="1:13" s="3" customFormat="1" ht="12" customHeight="1" x14ac:dyDescent="0.15">
      <c r="A546" s="99" t="s">
        <v>73</v>
      </c>
      <c r="B546" s="104"/>
      <c r="C546" s="104"/>
      <c r="D546" s="104"/>
      <c r="E546" s="104"/>
      <c r="F546" s="100" t="s">
        <v>74</v>
      </c>
      <c r="G546" s="86" t="s">
        <v>75</v>
      </c>
      <c r="H546" s="86" t="s">
        <v>76</v>
      </c>
      <c r="I546" s="100" t="s">
        <v>77</v>
      </c>
      <c r="J546" s="86" t="s">
        <v>78</v>
      </c>
      <c r="K546" s="100" t="s">
        <v>79</v>
      </c>
      <c r="L546" s="24" t="s">
        <v>289</v>
      </c>
      <c r="M546" s="8"/>
    </row>
    <row r="547" spans="1:13" s="3" customFormat="1" ht="12" customHeight="1" x14ac:dyDescent="0.15">
      <c r="A547" s="99" t="s">
        <v>250</v>
      </c>
      <c r="B547" s="104"/>
      <c r="C547" s="104"/>
      <c r="D547" s="104"/>
      <c r="E547" s="104"/>
      <c r="F547" s="100" t="s">
        <v>80</v>
      </c>
      <c r="G547" s="100" t="s">
        <v>81</v>
      </c>
      <c r="H547" s="100" t="s">
        <v>82</v>
      </c>
      <c r="I547" s="100" t="s">
        <v>83</v>
      </c>
      <c r="J547" s="100" t="s">
        <v>84</v>
      </c>
      <c r="K547" s="86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4">
        <v>21</v>
      </c>
      <c r="C548" s="74">
        <v>22</v>
      </c>
      <c r="D548" s="2" t="s">
        <v>433</v>
      </c>
      <c r="E548" s="74"/>
      <c r="F548" s="86">
        <f>L520</f>
        <v>11142167.68</v>
      </c>
      <c r="G548" s="86">
        <f>L525</f>
        <v>2396832.19</v>
      </c>
      <c r="H548" s="86">
        <f>L530</f>
        <v>309026.94</v>
      </c>
      <c r="I548" s="86">
        <f>L535</f>
        <v>0</v>
      </c>
      <c r="J548" s="86">
        <f>L540</f>
        <v>912646.06</v>
      </c>
      <c r="K548" s="86">
        <f>SUM(F548:J548)</f>
        <v>14760672.869999999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4">
        <v>21</v>
      </c>
      <c r="C549" s="74">
        <v>23</v>
      </c>
      <c r="D549" s="2" t="s">
        <v>433</v>
      </c>
      <c r="E549" s="74"/>
      <c r="F549" s="86">
        <f>L521</f>
        <v>4210656.3499999996</v>
      </c>
      <c r="G549" s="86">
        <f>L526</f>
        <v>1025159.4400000001</v>
      </c>
      <c r="H549" s="86">
        <f>L531</f>
        <v>132263.51999999999</v>
      </c>
      <c r="I549" s="86">
        <f>L536</f>
        <v>0</v>
      </c>
      <c r="J549" s="86">
        <f>L541</f>
        <v>912646.06</v>
      </c>
      <c r="K549" s="86">
        <f>SUM(F549:J549)</f>
        <v>6280725.3699999992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4">
        <v>21</v>
      </c>
      <c r="C550" s="74">
        <v>24</v>
      </c>
      <c r="D550" s="2" t="s">
        <v>433</v>
      </c>
      <c r="E550" s="74"/>
      <c r="F550" s="86">
        <f>L522</f>
        <v>6664972.3700000001</v>
      </c>
      <c r="G550" s="86">
        <f>L527</f>
        <v>1370072.92</v>
      </c>
      <c r="H550" s="86">
        <f>L532</f>
        <v>176763.4</v>
      </c>
      <c r="I550" s="86">
        <f>L537</f>
        <v>0</v>
      </c>
      <c r="J550" s="86">
        <f>L542</f>
        <v>470095.35</v>
      </c>
      <c r="K550" s="86">
        <f>SUM(F550:J550)</f>
        <v>8681904.040000001</v>
      </c>
      <c r="L550" s="24" t="s">
        <v>289</v>
      </c>
      <c r="M550" s="8"/>
    </row>
    <row r="551" spans="1:13" s="3" customFormat="1" ht="12" customHeight="1" thickTop="1" x14ac:dyDescent="0.15">
      <c r="A551" s="171" t="s">
        <v>341</v>
      </c>
      <c r="B551" s="44">
        <v>21</v>
      </c>
      <c r="C551" s="44">
        <v>25</v>
      </c>
      <c r="D551" s="39" t="s">
        <v>433</v>
      </c>
      <c r="E551" s="44"/>
      <c r="F551" s="88">
        <f t="shared" ref="F551:K551" si="42">SUM(F548:F550)</f>
        <v>22017796.399999999</v>
      </c>
      <c r="G551" s="88">
        <f t="shared" si="42"/>
        <v>4792064.55</v>
      </c>
      <c r="H551" s="88">
        <f t="shared" si="42"/>
        <v>618053.86</v>
      </c>
      <c r="I551" s="88">
        <f t="shared" si="42"/>
        <v>0</v>
      </c>
      <c r="J551" s="88">
        <f t="shared" si="42"/>
        <v>2295387.4700000002</v>
      </c>
      <c r="K551" s="88">
        <f t="shared" si="42"/>
        <v>29723302.280000001</v>
      </c>
      <c r="L551" s="24"/>
      <c r="M551" s="8"/>
    </row>
    <row r="552" spans="1:13" s="3" customFormat="1" ht="12" customHeight="1" x14ac:dyDescent="0.15">
      <c r="A552" s="95" t="s">
        <v>583</v>
      </c>
      <c r="B552" s="104"/>
      <c r="C552" s="104"/>
      <c r="D552" s="104"/>
      <c r="E552" s="104"/>
      <c r="F552" s="86"/>
      <c r="G552" s="86"/>
      <c r="H552" s="86"/>
      <c r="I552" s="86"/>
      <c r="J552" s="86"/>
      <c r="K552" s="86"/>
      <c r="L552" s="86"/>
      <c r="M552" s="8"/>
    </row>
    <row r="553" spans="1:13" s="3" customFormat="1" ht="12" customHeight="1" x14ac:dyDescent="0.15">
      <c r="B553" s="104"/>
      <c r="C553" s="114"/>
      <c r="D553" s="114"/>
      <c r="E553" s="114"/>
      <c r="F553" s="176" t="s">
        <v>693</v>
      </c>
      <c r="G553" s="176" t="s">
        <v>694</v>
      </c>
      <c r="H553" s="176" t="s">
        <v>695</v>
      </c>
      <c r="I553" s="176" t="s">
        <v>696</v>
      </c>
      <c r="J553" s="176" t="s">
        <v>697</v>
      </c>
      <c r="K553" s="176" t="s">
        <v>698</v>
      </c>
      <c r="L553" s="105"/>
      <c r="M553" s="8"/>
    </row>
    <row r="554" spans="1:13" s="3" customFormat="1" ht="12" customHeight="1" x14ac:dyDescent="0.15">
      <c r="A554" s="95" t="s">
        <v>50</v>
      </c>
      <c r="B554" s="104"/>
      <c r="C554" s="114"/>
      <c r="D554" s="114"/>
      <c r="E554" s="114"/>
      <c r="F554" s="102" t="s">
        <v>54</v>
      </c>
      <c r="G554" s="102" t="s">
        <v>55</v>
      </c>
      <c r="H554" s="105" t="s">
        <v>56</v>
      </c>
      <c r="I554" s="105" t="s">
        <v>57</v>
      </c>
      <c r="J554" s="105" t="s">
        <v>58</v>
      </c>
      <c r="K554" s="105" t="s">
        <v>59</v>
      </c>
      <c r="L554" s="105" t="s">
        <v>5</v>
      </c>
      <c r="M554" s="8"/>
    </row>
    <row r="555" spans="1:13" s="3" customFormat="1" ht="12" customHeight="1" x14ac:dyDescent="0.15">
      <c r="A555" s="95" t="s">
        <v>85</v>
      </c>
      <c r="B555" s="104"/>
      <c r="C555" s="114"/>
      <c r="D555" s="114"/>
      <c r="E555" s="114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4">
        <v>22</v>
      </c>
      <c r="C556" s="114">
        <v>1</v>
      </c>
      <c r="D556" s="2" t="s">
        <v>433</v>
      </c>
      <c r="E556" s="114"/>
      <c r="F556" s="18"/>
      <c r="G556" s="18"/>
      <c r="H556" s="18"/>
      <c r="I556" s="18"/>
      <c r="J556" s="18"/>
      <c r="K556" s="18"/>
      <c r="L556" s="87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4">
        <v>22</v>
      </c>
      <c r="C557" s="114">
        <v>2</v>
      </c>
      <c r="D557" s="2" t="s">
        <v>433</v>
      </c>
      <c r="E557" s="114"/>
      <c r="F557" s="18"/>
      <c r="G557" s="18"/>
      <c r="H557" s="18"/>
      <c r="I557" s="18"/>
      <c r="J557" s="18"/>
      <c r="K557" s="18"/>
      <c r="L557" s="87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4">
        <v>22</v>
      </c>
      <c r="C558" s="114">
        <v>3</v>
      </c>
      <c r="D558" s="2" t="s">
        <v>433</v>
      </c>
      <c r="E558" s="114"/>
      <c r="F558" s="18"/>
      <c r="G558" s="18"/>
      <c r="H558" s="18"/>
      <c r="I558" s="18"/>
      <c r="J558" s="18"/>
      <c r="K558" s="18"/>
      <c r="L558" s="87">
        <f>SUM(F558:K558)</f>
        <v>0</v>
      </c>
      <c r="M558" s="8"/>
    </row>
    <row r="559" spans="1:13" s="3" customFormat="1" ht="12" customHeight="1" thickTop="1" x14ac:dyDescent="0.15">
      <c r="A559" s="138" t="s">
        <v>63</v>
      </c>
      <c r="B559" s="106">
        <v>22</v>
      </c>
      <c r="C559" s="195">
        <v>4</v>
      </c>
      <c r="D559" s="196" t="s">
        <v>433</v>
      </c>
      <c r="E559" s="195"/>
      <c r="F559" s="107">
        <f t="shared" ref="F559:L559" si="43">SUM(F556:F558)</f>
        <v>0</v>
      </c>
      <c r="G559" s="107">
        <f t="shared" si="43"/>
        <v>0</v>
      </c>
      <c r="H559" s="107">
        <f t="shared" si="43"/>
        <v>0</v>
      </c>
      <c r="I559" s="107">
        <f t="shared" si="43"/>
        <v>0</v>
      </c>
      <c r="J559" s="107">
        <f t="shared" si="43"/>
        <v>0</v>
      </c>
      <c r="K559" s="107">
        <f t="shared" si="43"/>
        <v>0</v>
      </c>
      <c r="L559" s="88">
        <f t="shared" si="43"/>
        <v>0</v>
      </c>
      <c r="M559" s="8"/>
    </row>
    <row r="560" spans="1:13" s="3" customFormat="1" ht="12" customHeight="1" x14ac:dyDescent="0.15">
      <c r="A560" s="95" t="s">
        <v>86</v>
      </c>
      <c r="B560" s="104"/>
      <c r="C560" s="114"/>
      <c r="D560" s="114"/>
      <c r="E560" s="114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4">
        <v>22</v>
      </c>
      <c r="C561" s="114">
        <v>5</v>
      </c>
      <c r="D561" s="2" t="s">
        <v>433</v>
      </c>
      <c r="E561" s="114"/>
      <c r="F561" s="18">
        <v>860691.65999999992</v>
      </c>
      <c r="G561" s="18">
        <v>323792.17000000004</v>
      </c>
      <c r="H561" s="18">
        <v>5793.56</v>
      </c>
      <c r="I561" s="18">
        <v>5905.83</v>
      </c>
      <c r="J561" s="18">
        <v>0</v>
      </c>
      <c r="K561" s="18">
        <v>0</v>
      </c>
      <c r="L561" s="87">
        <f>SUM(F561:K561)</f>
        <v>1196183.2200000002</v>
      </c>
      <c r="M561" s="8"/>
    </row>
    <row r="562" spans="1:13" s="3" customFormat="1" ht="12" customHeight="1" x14ac:dyDescent="0.15">
      <c r="A562" s="22" t="s">
        <v>638</v>
      </c>
      <c r="B562" s="104">
        <v>22</v>
      </c>
      <c r="C562" s="114">
        <v>6</v>
      </c>
      <c r="D562" s="2" t="s">
        <v>433</v>
      </c>
      <c r="E562" s="114"/>
      <c r="F562" s="18">
        <v>303959.42999999993</v>
      </c>
      <c r="G562" s="18">
        <v>115198.15999999999</v>
      </c>
      <c r="H562" s="18">
        <v>5183.71</v>
      </c>
      <c r="I562" s="18">
        <v>2979.17</v>
      </c>
      <c r="J562" s="18">
        <v>0</v>
      </c>
      <c r="K562" s="18">
        <v>0</v>
      </c>
      <c r="L562" s="87">
        <f>SUM(F562:K562)</f>
        <v>427320.46999999991</v>
      </c>
      <c r="M562" s="8"/>
    </row>
    <row r="563" spans="1:13" s="3" customFormat="1" ht="12" customHeight="1" thickBot="1" x14ac:dyDescent="0.2">
      <c r="A563" s="22" t="s">
        <v>639</v>
      </c>
      <c r="B563" s="104">
        <v>22</v>
      </c>
      <c r="C563" s="117">
        <v>7</v>
      </c>
      <c r="D563" s="2" t="s">
        <v>433</v>
      </c>
      <c r="E563" s="117"/>
      <c r="F563" s="18">
        <v>437734.81000000006</v>
      </c>
      <c r="G563" s="18">
        <v>169683.40000000002</v>
      </c>
      <c r="H563" s="18">
        <v>21461.48</v>
      </c>
      <c r="I563" s="18">
        <v>8240.33</v>
      </c>
      <c r="J563" s="18">
        <v>0</v>
      </c>
      <c r="K563" s="18">
        <v>0</v>
      </c>
      <c r="L563" s="87">
        <f>SUM(F563:K563)</f>
        <v>637120.02</v>
      </c>
      <c r="M563" s="8"/>
    </row>
    <row r="564" spans="1:13" s="3" customFormat="1" ht="12" customHeight="1" thickTop="1" x14ac:dyDescent="0.15">
      <c r="A564" s="138" t="s">
        <v>65</v>
      </c>
      <c r="B564" s="106">
        <v>22</v>
      </c>
      <c r="C564" s="106">
        <v>8</v>
      </c>
      <c r="D564" s="196" t="s">
        <v>433</v>
      </c>
      <c r="E564" s="106"/>
      <c r="F564" s="88">
        <f t="shared" ref="F564:L564" si="44">SUM(F561:F563)</f>
        <v>1602385.9</v>
      </c>
      <c r="G564" s="88">
        <f t="shared" si="44"/>
        <v>608673.73</v>
      </c>
      <c r="H564" s="88">
        <f t="shared" si="44"/>
        <v>32438.75</v>
      </c>
      <c r="I564" s="88">
        <f t="shared" si="44"/>
        <v>17125.330000000002</v>
      </c>
      <c r="J564" s="88">
        <f t="shared" si="44"/>
        <v>0</v>
      </c>
      <c r="K564" s="88">
        <f t="shared" si="44"/>
        <v>0</v>
      </c>
      <c r="L564" s="88">
        <f t="shared" si="44"/>
        <v>2260623.71</v>
      </c>
      <c r="M564" s="8"/>
    </row>
    <row r="565" spans="1:13" s="3" customFormat="1" ht="12" customHeight="1" x14ac:dyDescent="0.15">
      <c r="A565" s="96" t="s">
        <v>87</v>
      </c>
      <c r="B565" s="104"/>
      <c r="C565" s="104"/>
      <c r="D565" s="104"/>
      <c r="E565" s="104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4">
        <v>22</v>
      </c>
      <c r="C566" s="104">
        <v>9</v>
      </c>
      <c r="D566" s="2" t="s">
        <v>433</v>
      </c>
      <c r="E566" s="104"/>
      <c r="F566" s="18">
        <v>9126.94</v>
      </c>
      <c r="G566" s="18">
        <v>0</v>
      </c>
      <c r="H566" s="18">
        <v>0</v>
      </c>
      <c r="I566" s="18">
        <v>471.71000000000004</v>
      </c>
      <c r="J566" s="18">
        <v>0</v>
      </c>
      <c r="K566" s="18">
        <v>0</v>
      </c>
      <c r="L566" s="87">
        <f>SUM(F566:K566)</f>
        <v>9598.6500000000015</v>
      </c>
      <c r="M566" s="8"/>
    </row>
    <row r="567" spans="1:13" s="3" customFormat="1" ht="12" customHeight="1" x14ac:dyDescent="0.15">
      <c r="A567" s="22" t="s">
        <v>638</v>
      </c>
      <c r="B567" s="104">
        <v>22</v>
      </c>
      <c r="C567" s="104">
        <v>10</v>
      </c>
      <c r="D567" s="2" t="s">
        <v>433</v>
      </c>
      <c r="E567" s="104"/>
      <c r="F567" s="18"/>
      <c r="G567" s="18"/>
      <c r="H567" s="18"/>
      <c r="I567" s="18"/>
      <c r="J567" s="18"/>
      <c r="K567" s="18"/>
      <c r="L567" s="87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4">
        <v>22</v>
      </c>
      <c r="C568" s="104">
        <v>11</v>
      </c>
      <c r="D568" s="2" t="s">
        <v>433</v>
      </c>
      <c r="E568" s="104"/>
      <c r="F568" s="18"/>
      <c r="G568" s="18"/>
      <c r="H568" s="18"/>
      <c r="I568" s="18"/>
      <c r="J568" s="18"/>
      <c r="K568" s="18"/>
      <c r="L568" s="87">
        <f>SUM(F568:K568)</f>
        <v>0</v>
      </c>
      <c r="M568" s="8"/>
    </row>
    <row r="569" spans="1:13" s="3" customFormat="1" ht="12" customHeight="1" thickTop="1" thickBot="1" x14ac:dyDescent="0.2">
      <c r="A569" s="129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9126.94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471.71000000000004</v>
      </c>
      <c r="J569" s="193">
        <f t="shared" si="45"/>
        <v>0</v>
      </c>
      <c r="K569" s="193">
        <f t="shared" si="45"/>
        <v>0</v>
      </c>
      <c r="L569" s="193">
        <f t="shared" si="45"/>
        <v>9598.6500000000015</v>
      </c>
      <c r="M569" s="8"/>
    </row>
    <row r="570" spans="1:13" s="3" customFormat="1" ht="12" customHeight="1" thickTop="1" x14ac:dyDescent="0.15">
      <c r="A570" s="97" t="s">
        <v>88</v>
      </c>
      <c r="B570" s="106">
        <v>22</v>
      </c>
      <c r="C570" s="106">
        <v>13</v>
      </c>
      <c r="D570" s="157" t="s">
        <v>433</v>
      </c>
      <c r="E570" s="106"/>
      <c r="F570" s="88">
        <f>F559+F564+F569</f>
        <v>1611512.8399999999</v>
      </c>
      <c r="G570" s="88">
        <f t="shared" ref="G570:L570" si="46">G559+G564+G569</f>
        <v>608673.73</v>
      </c>
      <c r="H570" s="88">
        <f t="shared" si="46"/>
        <v>32438.75</v>
      </c>
      <c r="I570" s="88">
        <f t="shared" si="46"/>
        <v>17597.04</v>
      </c>
      <c r="J570" s="88">
        <f t="shared" si="46"/>
        <v>0</v>
      </c>
      <c r="K570" s="88">
        <f t="shared" si="46"/>
        <v>0</v>
      </c>
      <c r="L570" s="88">
        <f t="shared" si="46"/>
        <v>2270222.36</v>
      </c>
      <c r="M570" s="8"/>
    </row>
    <row r="571" spans="1:13" s="3" customFormat="1" ht="12" customHeight="1" x14ac:dyDescent="0.15">
      <c r="A571" s="96"/>
      <c r="B571" s="74"/>
      <c r="C571" s="74"/>
      <c r="D571" s="74"/>
      <c r="E571" s="74"/>
      <c r="F571" s="86"/>
      <c r="G571" s="86"/>
      <c r="H571" s="86"/>
      <c r="I571" s="86"/>
      <c r="J571" s="86"/>
      <c r="K571" s="86"/>
      <c r="L571" s="86"/>
      <c r="M571" s="8"/>
    </row>
    <row r="572" spans="1:13" s="3" customFormat="1" ht="12" customHeight="1" x14ac:dyDescent="0.15">
      <c r="A572" s="96" t="s">
        <v>775</v>
      </c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</row>
    <row r="573" spans="1:13" s="3" customFormat="1" ht="12" customHeight="1" x14ac:dyDescent="0.15">
      <c r="A573" s="96" t="s">
        <v>89</v>
      </c>
      <c r="B573" s="74"/>
      <c r="C573" s="74"/>
      <c r="D573" s="74"/>
      <c r="E573" s="74" t="s">
        <v>95</v>
      </c>
      <c r="F573" s="100" t="s">
        <v>90</v>
      </c>
      <c r="G573" s="100" t="s">
        <v>91</v>
      </c>
      <c r="H573" s="100" t="s">
        <v>92</v>
      </c>
      <c r="I573" s="100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8" t="s">
        <v>673</v>
      </c>
      <c r="B574" s="74">
        <v>22</v>
      </c>
      <c r="C574" s="74">
        <v>14</v>
      </c>
      <c r="D574" s="2" t="s">
        <v>433</v>
      </c>
      <c r="E574" s="74">
        <v>561</v>
      </c>
      <c r="F574" s="18"/>
      <c r="G574" s="18"/>
      <c r="H574" s="18"/>
      <c r="I574" s="86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8" t="s">
        <v>674</v>
      </c>
      <c r="B575" s="74">
        <v>22</v>
      </c>
      <c r="C575" s="74">
        <v>15</v>
      </c>
      <c r="D575" s="2" t="s">
        <v>433</v>
      </c>
      <c r="E575" s="74">
        <v>562</v>
      </c>
      <c r="F575" s="18"/>
      <c r="G575" s="18"/>
      <c r="H575" s="18"/>
      <c r="I575" s="86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8" t="s">
        <v>744</v>
      </c>
      <c r="B576" s="74">
        <v>22</v>
      </c>
      <c r="C576" s="74">
        <v>16</v>
      </c>
      <c r="D576" s="2" t="s">
        <v>433</v>
      </c>
      <c r="E576" s="74">
        <v>563</v>
      </c>
      <c r="F576" s="24" t="s">
        <v>289</v>
      </c>
      <c r="G576" s="24" t="s">
        <v>289</v>
      </c>
      <c r="H576" s="18"/>
      <c r="I576" s="86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8" t="s">
        <v>678</v>
      </c>
      <c r="B577" s="74">
        <v>22</v>
      </c>
      <c r="C577" s="74">
        <v>17</v>
      </c>
      <c r="D577" s="2" t="s">
        <v>433</v>
      </c>
      <c r="E577" s="74">
        <v>564</v>
      </c>
      <c r="F577" s="18"/>
      <c r="G577" s="18"/>
      <c r="H577" s="18"/>
      <c r="I577" s="86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8" t="s">
        <v>675</v>
      </c>
      <c r="B578" s="74">
        <v>22</v>
      </c>
      <c r="C578" s="74">
        <v>18</v>
      </c>
      <c r="D578" s="2" t="s">
        <v>433</v>
      </c>
      <c r="E578" s="74">
        <v>561</v>
      </c>
      <c r="F578" s="18">
        <v>92399.83</v>
      </c>
      <c r="G578" s="18">
        <v>0</v>
      </c>
      <c r="H578" s="18">
        <v>46432</v>
      </c>
      <c r="I578" s="86">
        <f t="shared" si="47"/>
        <v>138831.83000000002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8" t="s">
        <v>676</v>
      </c>
      <c r="B579" s="74">
        <v>22</v>
      </c>
      <c r="C579" s="74">
        <v>19</v>
      </c>
      <c r="D579" s="2" t="s">
        <v>433</v>
      </c>
      <c r="E579" s="74">
        <v>562</v>
      </c>
      <c r="F579" s="18">
        <v>0</v>
      </c>
      <c r="G579" s="18">
        <v>98066.4</v>
      </c>
      <c r="H579" s="18">
        <v>336624.74</v>
      </c>
      <c r="I579" s="86">
        <f t="shared" si="47"/>
        <v>434691.14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5" t="s">
        <v>745</v>
      </c>
      <c r="B580" s="74">
        <v>22</v>
      </c>
      <c r="C580" s="74">
        <v>20</v>
      </c>
      <c r="D580" s="2" t="s">
        <v>433</v>
      </c>
      <c r="E580" s="74">
        <v>563</v>
      </c>
      <c r="F580" s="24" t="s">
        <v>289</v>
      </c>
      <c r="G580" s="24" t="s">
        <v>289</v>
      </c>
      <c r="H580" s="18"/>
      <c r="I580" s="86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5" t="s">
        <v>677</v>
      </c>
      <c r="B581" s="74">
        <v>22</v>
      </c>
      <c r="C581" s="74">
        <v>21</v>
      </c>
      <c r="D581" s="2" t="s">
        <v>433</v>
      </c>
      <c r="E581" s="74">
        <v>564</v>
      </c>
      <c r="F581" s="18">
        <v>264191.90999999997</v>
      </c>
      <c r="G581" s="18">
        <v>574192.74</v>
      </c>
      <c r="H581" s="18">
        <v>2082431.41</v>
      </c>
      <c r="I581" s="86">
        <f t="shared" si="47"/>
        <v>2920816.0599999996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5" t="s">
        <v>640</v>
      </c>
      <c r="B582" s="74">
        <v>22</v>
      </c>
      <c r="C582" s="74">
        <v>22</v>
      </c>
      <c r="D582" s="2" t="s">
        <v>433</v>
      </c>
      <c r="E582" s="74">
        <v>569</v>
      </c>
      <c r="F582" s="18">
        <v>0</v>
      </c>
      <c r="G582" s="18">
        <v>0</v>
      </c>
      <c r="H582" s="18">
        <v>316446.42</v>
      </c>
      <c r="I582" s="86">
        <f t="shared" si="47"/>
        <v>316446.42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4">
        <v>22</v>
      </c>
      <c r="C583" s="74">
        <v>23</v>
      </c>
      <c r="D583" s="2" t="s">
        <v>433</v>
      </c>
      <c r="E583" s="74">
        <v>561</v>
      </c>
      <c r="F583" s="18"/>
      <c r="G583" s="18"/>
      <c r="H583" s="18"/>
      <c r="I583" s="86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4">
        <v>22</v>
      </c>
      <c r="C584" s="74">
        <v>24</v>
      </c>
      <c r="D584" s="2" t="s">
        <v>433</v>
      </c>
      <c r="E584" s="74">
        <v>562</v>
      </c>
      <c r="F584" s="18"/>
      <c r="G584" s="18"/>
      <c r="H584" s="18"/>
      <c r="I584" s="86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4">
        <v>22</v>
      </c>
      <c r="C585" s="74">
        <v>25</v>
      </c>
      <c r="D585" s="2" t="s">
        <v>433</v>
      </c>
      <c r="E585" s="74">
        <v>563</v>
      </c>
      <c r="F585" s="24" t="s">
        <v>289</v>
      </c>
      <c r="G585" s="24" t="s">
        <v>289</v>
      </c>
      <c r="H585" s="18"/>
      <c r="I585" s="86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4">
        <v>22</v>
      </c>
      <c r="C586" s="74">
        <v>26</v>
      </c>
      <c r="D586" s="2" t="s">
        <v>433</v>
      </c>
      <c r="E586" s="74">
        <v>564</v>
      </c>
      <c r="F586" s="18"/>
      <c r="G586" s="18"/>
      <c r="H586" s="18"/>
      <c r="I586" s="86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2" t="s">
        <v>747</v>
      </c>
      <c r="B587" s="104"/>
      <c r="C587" s="104"/>
      <c r="D587" s="104"/>
      <c r="E587" s="104"/>
      <c r="F587" s="102"/>
      <c r="G587" s="102"/>
      <c r="H587" s="102"/>
      <c r="I587" s="102"/>
      <c r="J587" s="102"/>
      <c r="K587" s="102"/>
      <c r="L587" s="102"/>
      <c r="M587" s="8"/>
    </row>
    <row r="588" spans="1:13" s="3" customFormat="1" ht="12" customHeight="1" x14ac:dyDescent="0.15">
      <c r="A588" s="146" t="s">
        <v>658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</row>
    <row r="589" spans="1:13" s="3" customFormat="1" ht="12" customHeight="1" x14ac:dyDescent="0.15">
      <c r="A589" s="95" t="s">
        <v>89</v>
      </c>
      <c r="B589" s="104"/>
      <c r="C589" s="104"/>
      <c r="D589" s="104"/>
      <c r="E589" s="104"/>
      <c r="F589" s="102" t="s">
        <v>94</v>
      </c>
      <c r="G589" s="102" t="s">
        <v>95</v>
      </c>
      <c r="H589" s="102" t="s">
        <v>61</v>
      </c>
      <c r="I589" s="102" t="s">
        <v>96</v>
      </c>
      <c r="J589" s="102" t="s">
        <v>62</v>
      </c>
      <c r="K589" s="102" t="s">
        <v>5</v>
      </c>
      <c r="L589" s="102"/>
      <c r="M589" s="8"/>
    </row>
    <row r="590" spans="1:13" s="3" customFormat="1" ht="12" customHeight="1" x14ac:dyDescent="0.15">
      <c r="A590" s="3" t="s">
        <v>641</v>
      </c>
      <c r="B590" s="74">
        <v>23</v>
      </c>
      <c r="C590" s="74">
        <v>1</v>
      </c>
      <c r="D590" s="2" t="s">
        <v>433</v>
      </c>
      <c r="E590" s="74"/>
      <c r="F590" s="101">
        <v>2721</v>
      </c>
      <c r="G590" s="102" t="s">
        <v>97</v>
      </c>
      <c r="H590" s="18">
        <v>719161.73</v>
      </c>
      <c r="I590" s="18">
        <v>783097.59</v>
      </c>
      <c r="J590" s="18">
        <v>831166.15</v>
      </c>
      <c r="K590" s="103">
        <f t="shared" ref="K590:K596" si="48">SUM(H590:J590)</f>
        <v>2333425.4699999997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4">
        <v>23</v>
      </c>
      <c r="C591" s="74">
        <v>2</v>
      </c>
      <c r="D591" s="2" t="s">
        <v>433</v>
      </c>
      <c r="E591" s="74"/>
      <c r="F591" s="101">
        <v>2722</v>
      </c>
      <c r="G591" s="102" t="s">
        <v>97</v>
      </c>
      <c r="H591" s="18">
        <v>912646.06</v>
      </c>
      <c r="I591" s="18">
        <v>912646.06</v>
      </c>
      <c r="J591" s="18">
        <v>470095.35</v>
      </c>
      <c r="K591" s="103">
        <f t="shared" si="48"/>
        <v>2295387.4700000002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4">
        <v>23</v>
      </c>
      <c r="C592" s="74">
        <v>3</v>
      </c>
      <c r="D592" s="2" t="s">
        <v>433</v>
      </c>
      <c r="E592" s="74"/>
      <c r="F592" s="101">
        <v>2723</v>
      </c>
      <c r="G592" s="102" t="s">
        <v>97</v>
      </c>
      <c r="H592" s="18">
        <v>0</v>
      </c>
      <c r="I592" s="18">
        <v>0</v>
      </c>
      <c r="J592" s="18">
        <v>18019</v>
      </c>
      <c r="K592" s="103">
        <f t="shared" si="48"/>
        <v>18019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4">
        <v>23</v>
      </c>
      <c r="C593" s="74">
        <v>4</v>
      </c>
      <c r="D593" s="2" t="s">
        <v>433</v>
      </c>
      <c r="E593" s="74"/>
      <c r="F593" s="101">
        <v>2724</v>
      </c>
      <c r="G593" s="102" t="s">
        <v>97</v>
      </c>
      <c r="H593" s="18">
        <v>0</v>
      </c>
      <c r="I593" s="18">
        <v>17952.810000000001</v>
      </c>
      <c r="J593" s="18">
        <v>111295.02999999994</v>
      </c>
      <c r="K593" s="103">
        <f t="shared" si="48"/>
        <v>129247.83999999994</v>
      </c>
      <c r="L593" s="24" t="s">
        <v>289</v>
      </c>
      <c r="M593" s="8"/>
    </row>
    <row r="594" spans="1:13" s="3" customFormat="1" ht="12" customHeight="1" x14ac:dyDescent="0.15">
      <c r="A594" s="170" t="s">
        <v>656</v>
      </c>
      <c r="B594" s="74">
        <v>23</v>
      </c>
      <c r="C594" s="74">
        <v>5</v>
      </c>
      <c r="D594" s="2" t="s">
        <v>433</v>
      </c>
      <c r="E594" s="74"/>
      <c r="F594" s="101">
        <v>2725</v>
      </c>
      <c r="G594" s="102" t="s">
        <v>97</v>
      </c>
      <c r="H594" s="18">
        <v>0</v>
      </c>
      <c r="I594" s="18">
        <v>0</v>
      </c>
      <c r="J594" s="18">
        <v>10925.44</v>
      </c>
      <c r="K594" s="103">
        <f t="shared" si="48"/>
        <v>10925.44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4">
        <v>23</v>
      </c>
      <c r="C595" s="74">
        <v>6</v>
      </c>
      <c r="D595" s="2" t="s">
        <v>433</v>
      </c>
      <c r="E595" s="74"/>
      <c r="F595" s="101">
        <v>2726</v>
      </c>
      <c r="G595" s="102" t="s">
        <v>97</v>
      </c>
      <c r="H595" s="18">
        <v>0</v>
      </c>
      <c r="I595" s="18">
        <v>0</v>
      </c>
      <c r="J595" s="18">
        <v>0</v>
      </c>
      <c r="K595" s="103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4">
        <v>23</v>
      </c>
      <c r="C596" s="74">
        <v>7</v>
      </c>
      <c r="D596" s="2" t="s">
        <v>433</v>
      </c>
      <c r="E596" s="74"/>
      <c r="F596" s="101">
        <v>2729</v>
      </c>
      <c r="G596" s="102" t="s">
        <v>97</v>
      </c>
      <c r="H596" s="18">
        <v>0</v>
      </c>
      <c r="I596" s="18">
        <v>0</v>
      </c>
      <c r="J596" s="18">
        <v>0</v>
      </c>
      <c r="K596" s="103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7" t="s">
        <v>341</v>
      </c>
      <c r="B597" s="44">
        <v>23</v>
      </c>
      <c r="C597" s="44">
        <v>8</v>
      </c>
      <c r="D597" s="39" t="s">
        <v>433</v>
      </c>
      <c r="E597" s="44"/>
      <c r="F597" s="147">
        <v>2700</v>
      </c>
      <c r="G597" s="148" t="s">
        <v>97</v>
      </c>
      <c r="H597" s="107">
        <f>SUM(H590:H596)</f>
        <v>1631807.79</v>
      </c>
      <c r="I597" s="107">
        <f>SUM(I590:I596)</f>
        <v>1713696.46</v>
      </c>
      <c r="J597" s="107">
        <f>SUM(J590:J596)</f>
        <v>1441500.97</v>
      </c>
      <c r="K597" s="107">
        <f>SUM(K590:K596)</f>
        <v>4787005.22</v>
      </c>
      <c r="L597" s="24" t="s">
        <v>289</v>
      </c>
      <c r="M597" s="8"/>
    </row>
    <row r="598" spans="1:13" s="3" customFormat="1" ht="12" customHeight="1" x14ac:dyDescent="0.15">
      <c r="A598" s="22"/>
      <c r="B598" s="104"/>
      <c r="C598" s="104"/>
      <c r="D598" s="104"/>
      <c r="E598" s="104"/>
      <c r="F598" s="102"/>
      <c r="G598" s="102"/>
      <c r="H598" s="102"/>
      <c r="I598" s="102"/>
      <c r="J598" s="102"/>
      <c r="K598" s="102"/>
      <c r="L598" s="102"/>
      <c r="M598" s="8"/>
    </row>
    <row r="599" spans="1:13" s="3" customFormat="1" ht="12" customHeight="1" x14ac:dyDescent="0.15">
      <c r="A599" s="95" t="s">
        <v>98</v>
      </c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</row>
    <row r="600" spans="1:13" s="3" customFormat="1" ht="12" customHeight="1" x14ac:dyDescent="0.15">
      <c r="A600" s="95" t="s">
        <v>89</v>
      </c>
      <c r="B600" s="104"/>
      <c r="C600" s="104"/>
      <c r="D600" s="104"/>
      <c r="E600" s="104"/>
      <c r="F600" s="102" t="s">
        <v>94</v>
      </c>
      <c r="G600" s="102" t="s">
        <v>95</v>
      </c>
      <c r="H600" s="102" t="s">
        <v>61</v>
      </c>
      <c r="I600" s="102" t="s">
        <v>96</v>
      </c>
      <c r="J600" s="102" t="s">
        <v>62</v>
      </c>
      <c r="K600" s="102" t="s">
        <v>5</v>
      </c>
      <c r="L600" s="102"/>
      <c r="M600" s="8"/>
    </row>
    <row r="601" spans="1:13" s="3" customFormat="1" ht="12" customHeight="1" x14ac:dyDescent="0.15">
      <c r="A601" s="22" t="s">
        <v>646</v>
      </c>
      <c r="B601" s="104">
        <v>23</v>
      </c>
      <c r="C601" s="104">
        <v>9</v>
      </c>
      <c r="D601" s="2" t="s">
        <v>433</v>
      </c>
      <c r="E601" s="104"/>
      <c r="F601" s="102" t="s">
        <v>477</v>
      </c>
      <c r="G601" s="101">
        <v>710</v>
      </c>
      <c r="H601" s="18"/>
      <c r="I601" s="18"/>
      <c r="J601" s="18"/>
      <c r="K601" s="103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4">
        <v>23</v>
      </c>
      <c r="C602" s="104">
        <v>10</v>
      </c>
      <c r="D602" s="2" t="s">
        <v>433</v>
      </c>
      <c r="E602" s="104"/>
      <c r="F602" s="102" t="s">
        <v>477</v>
      </c>
      <c r="G602" s="101">
        <v>720</v>
      </c>
      <c r="H602" s="18"/>
      <c r="I602" s="18"/>
      <c r="J602" s="18"/>
      <c r="K602" s="103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4">
        <v>23</v>
      </c>
      <c r="C603" s="104">
        <v>11</v>
      </c>
      <c r="D603" s="2" t="s">
        <v>433</v>
      </c>
      <c r="E603" s="104"/>
      <c r="F603" s="102" t="s">
        <v>477</v>
      </c>
      <c r="G603" s="101">
        <v>730</v>
      </c>
      <c r="H603" s="18">
        <v>791792.3</v>
      </c>
      <c r="I603" s="18">
        <v>292422.06</v>
      </c>
      <c r="J603" s="18">
        <v>667489.93000000005</v>
      </c>
      <c r="K603" s="103">
        <f>SUM(H603:J603)</f>
        <v>1751704.29</v>
      </c>
      <c r="L603" s="24" t="s">
        <v>289</v>
      </c>
      <c r="M603" s="8"/>
    </row>
    <row r="604" spans="1:13" s="3" customFormat="1" ht="12" customHeight="1" thickTop="1" x14ac:dyDescent="0.15">
      <c r="A604" s="97" t="s">
        <v>341</v>
      </c>
      <c r="B604" s="44">
        <v>23</v>
      </c>
      <c r="C604" s="44">
        <v>12</v>
      </c>
      <c r="D604" s="39" t="s">
        <v>433</v>
      </c>
      <c r="E604" s="44"/>
      <c r="F604" s="148" t="s">
        <v>477</v>
      </c>
      <c r="G604" s="147">
        <v>700</v>
      </c>
      <c r="H604" s="107">
        <f>SUM(H601:H603)</f>
        <v>791792.3</v>
      </c>
      <c r="I604" s="107">
        <f>SUM(I601:I603)</f>
        <v>292422.06</v>
      </c>
      <c r="J604" s="107">
        <f>SUM(J601:J603)</f>
        <v>667489.93000000005</v>
      </c>
      <c r="K604" s="107">
        <f>SUM(K601:K603)</f>
        <v>1751704.29</v>
      </c>
      <c r="L604" s="24" t="s">
        <v>289</v>
      </c>
      <c r="M604" s="8"/>
    </row>
    <row r="605" spans="1:13" s="3" customFormat="1" ht="12" customHeight="1" x14ac:dyDescent="0.15">
      <c r="A605" s="22"/>
      <c r="B605" s="104"/>
      <c r="C605" s="104"/>
      <c r="D605" s="104"/>
      <c r="E605" s="104"/>
      <c r="F605" s="102"/>
      <c r="G605" s="102"/>
      <c r="H605" s="102"/>
      <c r="I605" s="102"/>
      <c r="J605" s="102"/>
      <c r="K605" s="102"/>
      <c r="L605" s="87"/>
      <c r="M605" s="8"/>
    </row>
    <row r="606" spans="1:13" s="3" customFormat="1" ht="12" customHeight="1" x14ac:dyDescent="0.15">
      <c r="A606" s="95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</row>
    <row r="607" spans="1:13" s="3" customFormat="1" ht="12" customHeight="1" x14ac:dyDescent="0.15">
      <c r="A607" s="95" t="s">
        <v>584</v>
      </c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</row>
    <row r="608" spans="1:13" s="3" customFormat="1" ht="12" customHeight="1" x14ac:dyDescent="0.15">
      <c r="B608" s="104"/>
      <c r="C608" s="104"/>
      <c r="D608" s="104"/>
      <c r="E608" s="104"/>
      <c r="F608" s="176" t="s">
        <v>693</v>
      </c>
      <c r="G608" s="176" t="s">
        <v>694</v>
      </c>
      <c r="H608" s="176" t="s">
        <v>695</v>
      </c>
      <c r="I608" s="176" t="s">
        <v>696</v>
      </c>
      <c r="J608" s="176" t="s">
        <v>697</v>
      </c>
      <c r="K608" s="176" t="s">
        <v>698</v>
      </c>
      <c r="L608" s="87"/>
      <c r="M608" s="8"/>
    </row>
    <row r="609" spans="1:13" s="3" customFormat="1" ht="12" customHeight="1" x14ac:dyDescent="0.15">
      <c r="A609" s="95" t="s">
        <v>89</v>
      </c>
      <c r="B609" s="104"/>
      <c r="C609" s="104"/>
      <c r="D609" s="104"/>
      <c r="E609" s="104"/>
      <c r="F609" s="102" t="s">
        <v>54</v>
      </c>
      <c r="G609" s="102" t="s">
        <v>55</v>
      </c>
      <c r="H609" s="102" t="s">
        <v>56</v>
      </c>
      <c r="I609" s="102" t="s">
        <v>57</v>
      </c>
      <c r="J609" s="102" t="s">
        <v>58</v>
      </c>
      <c r="K609" s="102" t="s">
        <v>59</v>
      </c>
      <c r="L609" s="105" t="s">
        <v>5</v>
      </c>
      <c r="M609" s="8"/>
    </row>
    <row r="610" spans="1:13" s="3" customFormat="1" ht="12" customHeight="1" x14ac:dyDescent="0.15">
      <c r="A610" s="22" t="s">
        <v>637</v>
      </c>
      <c r="B610" s="74">
        <v>23</v>
      </c>
      <c r="C610" s="74">
        <v>13</v>
      </c>
      <c r="D610" s="2" t="s">
        <v>433</v>
      </c>
      <c r="E610" s="74"/>
      <c r="F610" s="18">
        <v>34108.9</v>
      </c>
      <c r="G610" s="18">
        <v>10981.37</v>
      </c>
      <c r="H610" s="18">
        <v>172.16</v>
      </c>
      <c r="I610" s="18">
        <v>10898.56</v>
      </c>
      <c r="J610" s="18">
        <v>0</v>
      </c>
      <c r="K610" s="18">
        <v>0</v>
      </c>
      <c r="L610" s="87">
        <f>SUM(F610:K610)</f>
        <v>56160.990000000005</v>
      </c>
      <c r="M610" s="8"/>
    </row>
    <row r="611" spans="1:13" s="3" customFormat="1" ht="12" customHeight="1" x14ac:dyDescent="0.15">
      <c r="A611" s="22" t="s">
        <v>638</v>
      </c>
      <c r="B611" s="74">
        <v>23</v>
      </c>
      <c r="C611" s="74">
        <v>14</v>
      </c>
      <c r="D611" s="2" t="s">
        <v>433</v>
      </c>
      <c r="E611" s="74"/>
      <c r="F611" s="18">
        <v>7410.18</v>
      </c>
      <c r="G611" s="18">
        <v>2385.71</v>
      </c>
      <c r="H611" s="18">
        <v>37.4</v>
      </c>
      <c r="I611" s="18">
        <v>2367.7199999999998</v>
      </c>
      <c r="J611" s="18">
        <v>0</v>
      </c>
      <c r="K611" s="18">
        <v>0</v>
      </c>
      <c r="L611" s="87">
        <f>SUM(F611:K611)</f>
        <v>12201.009999999998</v>
      </c>
      <c r="M611" s="8"/>
    </row>
    <row r="612" spans="1:13" s="3" customFormat="1" ht="12" customHeight="1" thickBot="1" x14ac:dyDescent="0.2">
      <c r="A612" s="22" t="s">
        <v>649</v>
      </c>
      <c r="B612" s="74">
        <v>23</v>
      </c>
      <c r="C612" s="74">
        <v>15</v>
      </c>
      <c r="D612" s="2" t="s">
        <v>433</v>
      </c>
      <c r="E612" s="74"/>
      <c r="F612" s="18">
        <v>33082.559999999998</v>
      </c>
      <c r="G612" s="18">
        <v>10650.94</v>
      </c>
      <c r="H612" s="18">
        <v>166.98</v>
      </c>
      <c r="I612" s="18">
        <v>10570.63</v>
      </c>
      <c r="J612" s="18">
        <v>0</v>
      </c>
      <c r="K612" s="18">
        <v>0</v>
      </c>
      <c r="L612" s="87">
        <f>SUM(F612:K612)</f>
        <v>54471.11</v>
      </c>
      <c r="M612" s="8"/>
    </row>
    <row r="613" spans="1:13" s="3" customFormat="1" ht="12" customHeight="1" thickTop="1" x14ac:dyDescent="0.15">
      <c r="A613" s="97" t="s">
        <v>341</v>
      </c>
      <c r="B613" s="106">
        <v>23</v>
      </c>
      <c r="C613" s="106">
        <v>16</v>
      </c>
      <c r="D613" s="39" t="s">
        <v>433</v>
      </c>
      <c r="E613" s="106"/>
      <c r="F613" s="107">
        <f t="shared" ref="F613:L613" si="49">SUM(F610:F612)</f>
        <v>74601.64</v>
      </c>
      <c r="G613" s="107">
        <f t="shared" si="49"/>
        <v>24018.020000000004</v>
      </c>
      <c r="H613" s="107">
        <f t="shared" si="49"/>
        <v>376.53999999999996</v>
      </c>
      <c r="I613" s="107">
        <f t="shared" si="49"/>
        <v>23836.909999999996</v>
      </c>
      <c r="J613" s="107">
        <f t="shared" si="49"/>
        <v>0</v>
      </c>
      <c r="K613" s="107">
        <f t="shared" si="49"/>
        <v>0</v>
      </c>
      <c r="L613" s="88">
        <f t="shared" si="49"/>
        <v>122833.11</v>
      </c>
      <c r="M613" s="8"/>
    </row>
    <row r="614" spans="1:13" s="3" customFormat="1" ht="12" customHeight="1" x14ac:dyDescent="0.15">
      <c r="A614" s="96"/>
      <c r="B614" s="104"/>
      <c r="C614" s="104"/>
      <c r="D614" s="104"/>
      <c r="E614" s="104"/>
      <c r="F614" s="108"/>
      <c r="G614" s="108"/>
      <c r="H614" s="108"/>
      <c r="I614" s="108"/>
      <c r="J614" s="108"/>
      <c r="K614" s="108"/>
      <c r="L614" s="108"/>
      <c r="M614" s="8"/>
    </row>
    <row r="615" spans="1:13" s="3" customFormat="1" ht="12" customHeight="1" x14ac:dyDescent="0.15">
      <c r="A615" s="96"/>
      <c r="B615" s="104"/>
      <c r="C615" s="104"/>
      <c r="D615" s="104"/>
      <c r="E615" s="104"/>
      <c r="F615" s="149" t="s">
        <v>53</v>
      </c>
      <c r="G615" s="150"/>
      <c r="H615" s="150"/>
      <c r="I615" s="149" t="s">
        <v>53</v>
      </c>
      <c r="J615" s="108"/>
      <c r="K615" s="108"/>
      <c r="L615" s="108"/>
      <c r="M615" s="8"/>
    </row>
    <row r="616" spans="1:13" s="3" customFormat="1" ht="12" customHeight="1" x14ac:dyDescent="0.15">
      <c r="A616" s="96" t="s">
        <v>99</v>
      </c>
      <c r="B616" s="104"/>
      <c r="C616" s="104"/>
      <c r="D616" s="104"/>
      <c r="E616" s="104"/>
      <c r="F616" s="120" t="s">
        <v>687</v>
      </c>
      <c r="G616" s="108">
        <f>SUM(F19)</f>
        <v>0</v>
      </c>
      <c r="H616" s="108">
        <f>SUM(F51)</f>
        <v>0</v>
      </c>
      <c r="I616" s="120" t="s">
        <v>901</v>
      </c>
      <c r="J616" s="108">
        <f>G616-H616</f>
        <v>0</v>
      </c>
      <c r="K616" s="108"/>
      <c r="L616" s="108"/>
      <c r="M616" s="8"/>
    </row>
    <row r="617" spans="1:13" s="3" customFormat="1" ht="12" customHeight="1" x14ac:dyDescent="0.15">
      <c r="A617" s="96" t="s">
        <v>100</v>
      </c>
      <c r="B617" s="104"/>
      <c r="C617" s="104"/>
      <c r="D617" s="104"/>
      <c r="E617" s="104"/>
      <c r="F617" s="120" t="s">
        <v>688</v>
      </c>
      <c r="G617" s="108">
        <f>SUM(G19)</f>
        <v>384552.29000000004</v>
      </c>
      <c r="H617" s="108">
        <f>SUM(G51)</f>
        <v>384552.29000000004</v>
      </c>
      <c r="I617" s="120" t="s">
        <v>902</v>
      </c>
      <c r="J617" s="108">
        <f>G617-H617</f>
        <v>0</v>
      </c>
      <c r="K617" s="108"/>
      <c r="L617" s="108"/>
      <c r="M617" s="8"/>
    </row>
    <row r="618" spans="1:13" s="3" customFormat="1" ht="12" customHeight="1" x14ac:dyDescent="0.15">
      <c r="A618" s="96"/>
      <c r="B618" s="104"/>
      <c r="C618" s="104"/>
      <c r="D618" s="104"/>
      <c r="E618" s="104"/>
      <c r="F618" s="120" t="s">
        <v>689</v>
      </c>
      <c r="G618" s="108">
        <f>SUM(H19)</f>
        <v>3846684.7800000003</v>
      </c>
      <c r="H618" s="108">
        <f>SUM(H51)</f>
        <v>3846684.7800000003</v>
      </c>
      <c r="I618" s="120" t="s">
        <v>903</v>
      </c>
      <c r="J618" s="108">
        <f>G618-H618</f>
        <v>0</v>
      </c>
      <c r="K618" s="108"/>
      <c r="L618" s="108"/>
      <c r="M618" s="8"/>
    </row>
    <row r="619" spans="1:13" s="3" customFormat="1" ht="12" customHeight="1" x14ac:dyDescent="0.15">
      <c r="A619" s="96"/>
      <c r="B619" s="104"/>
      <c r="C619" s="104"/>
      <c r="D619" s="104"/>
      <c r="E619" s="104"/>
      <c r="F619" s="120" t="s">
        <v>690</v>
      </c>
      <c r="G619" s="108">
        <f>SUM(I19)</f>
        <v>1559237.57</v>
      </c>
      <c r="H619" s="108">
        <f>SUM(I51)</f>
        <v>1559237.5699999998</v>
      </c>
      <c r="I619" s="120" t="s">
        <v>904</v>
      </c>
      <c r="J619" s="108">
        <f>G619-H619</f>
        <v>0</v>
      </c>
      <c r="K619" s="108"/>
      <c r="L619" s="108"/>
      <c r="M619" s="8"/>
    </row>
    <row r="620" spans="1:13" s="3" customFormat="1" ht="12" customHeight="1" x14ac:dyDescent="0.15">
      <c r="A620" s="96"/>
      <c r="B620" s="104"/>
      <c r="C620" s="104"/>
      <c r="D620" s="104"/>
      <c r="E620" s="104"/>
      <c r="F620" s="120" t="s">
        <v>691</v>
      </c>
      <c r="G620" s="108">
        <f>SUM(J19)</f>
        <v>10798109.729999999</v>
      </c>
      <c r="H620" s="108">
        <f>SUM(J51)</f>
        <v>10798109.729999999</v>
      </c>
      <c r="I620" s="120" t="s">
        <v>905</v>
      </c>
      <c r="J620" s="108">
        <f>G620-H620</f>
        <v>0</v>
      </c>
      <c r="K620" s="108"/>
      <c r="L620" s="108"/>
      <c r="M620" s="8"/>
    </row>
    <row r="621" spans="1:13" s="3" customFormat="1" ht="12" customHeight="1" x14ac:dyDescent="0.15">
      <c r="A621" s="96"/>
      <c r="B621" s="104"/>
      <c r="C621" s="104"/>
      <c r="D621" s="104"/>
      <c r="E621" s="104"/>
      <c r="F621" s="120" t="s">
        <v>896</v>
      </c>
      <c r="G621" s="108">
        <f>F50</f>
        <v>0</v>
      </c>
      <c r="H621" s="108">
        <f>F475</f>
        <v>0</v>
      </c>
      <c r="I621" s="120" t="s">
        <v>101</v>
      </c>
      <c r="J621" s="108">
        <f t="shared" ref="J621:J654" si="50">G621-H621</f>
        <v>0</v>
      </c>
      <c r="K621" s="108"/>
      <c r="L621" s="108"/>
      <c r="M621" s="8"/>
    </row>
    <row r="622" spans="1:13" s="3" customFormat="1" ht="12" customHeight="1" x14ac:dyDescent="0.15">
      <c r="A622" s="96"/>
      <c r="B622" s="104"/>
      <c r="C622" s="118"/>
      <c r="D622" s="118"/>
      <c r="E622" s="118"/>
      <c r="F622" s="118" t="s">
        <v>897</v>
      </c>
      <c r="G622" s="108">
        <f>G50</f>
        <v>384552.29000000004</v>
      </c>
      <c r="H622" s="108">
        <f>G475</f>
        <v>384552.29000000004</v>
      </c>
      <c r="I622" s="120" t="s">
        <v>102</v>
      </c>
      <c r="J622" s="108">
        <f t="shared" si="50"/>
        <v>0</v>
      </c>
      <c r="K622" s="108"/>
      <c r="L622" s="108"/>
      <c r="M622" s="8"/>
    </row>
    <row r="623" spans="1:13" s="3" customFormat="1" ht="12" customHeight="1" x14ac:dyDescent="0.15">
      <c r="A623" s="96"/>
      <c r="B623" s="104"/>
      <c r="C623" s="104"/>
      <c r="D623" s="104"/>
      <c r="E623" s="104"/>
      <c r="F623" s="119" t="s">
        <v>898</v>
      </c>
      <c r="G623" s="108">
        <f>H50</f>
        <v>1884400.27</v>
      </c>
      <c r="H623" s="108">
        <f>H475</f>
        <v>1884400.2699999977</v>
      </c>
      <c r="I623" s="120" t="s">
        <v>103</v>
      </c>
      <c r="J623" s="108">
        <f t="shared" si="50"/>
        <v>2.3283064365386963E-9</v>
      </c>
      <c r="K623" s="108"/>
      <c r="L623" s="108"/>
      <c r="M623" s="8"/>
    </row>
    <row r="624" spans="1:13" s="3" customFormat="1" ht="12" customHeight="1" x14ac:dyDescent="0.15">
      <c r="A624" s="96"/>
      <c r="B624" s="104"/>
      <c r="C624" s="104"/>
      <c r="D624" s="104"/>
      <c r="E624" s="104"/>
      <c r="F624" s="119" t="s">
        <v>899</v>
      </c>
      <c r="G624" s="108">
        <f>I50</f>
        <v>1542435.5699999998</v>
      </c>
      <c r="H624" s="108">
        <f>I475</f>
        <v>1542435.5700000003</v>
      </c>
      <c r="I624" s="120" t="s">
        <v>104</v>
      </c>
      <c r="J624" s="108">
        <f t="shared" si="50"/>
        <v>0</v>
      </c>
      <c r="K624" s="108"/>
      <c r="L624" s="108"/>
      <c r="M624" s="8"/>
    </row>
    <row r="625" spans="1:13" s="3" customFormat="1" ht="12" customHeight="1" x14ac:dyDescent="0.15">
      <c r="A625" s="22"/>
      <c r="B625" s="104"/>
      <c r="C625" s="104"/>
      <c r="D625" s="104"/>
      <c r="E625" s="104"/>
      <c r="F625" s="119" t="s">
        <v>900</v>
      </c>
      <c r="G625" s="108">
        <f>J50</f>
        <v>10788462.529999999</v>
      </c>
      <c r="H625" s="108">
        <f>J475</f>
        <v>10788462.529999999</v>
      </c>
      <c r="I625" s="139" t="s">
        <v>105</v>
      </c>
      <c r="J625" s="108">
        <f t="shared" si="50"/>
        <v>0</v>
      </c>
      <c r="K625" s="84"/>
      <c r="L625" s="87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662</v>
      </c>
      <c r="G626" s="108">
        <f>F192</f>
        <v>135493910</v>
      </c>
      <c r="H626" s="103">
        <f>SUM(F467)</f>
        <v>135493910</v>
      </c>
      <c r="I626" s="139" t="s">
        <v>106</v>
      </c>
      <c r="J626" s="108">
        <f>G626-H626</f>
        <v>0</v>
      </c>
      <c r="K626" s="84"/>
      <c r="L626" s="87"/>
      <c r="M626" s="8"/>
    </row>
    <row r="627" spans="1:13" s="3" customFormat="1" ht="12" customHeight="1" x14ac:dyDescent="0.15">
      <c r="A627" s="22"/>
      <c r="B627" s="104"/>
      <c r="C627" s="104"/>
      <c r="D627" s="104"/>
      <c r="E627" s="104"/>
      <c r="F627" s="119" t="s">
        <v>663</v>
      </c>
      <c r="G627" s="108">
        <f>G192</f>
        <v>5070891.3899999997</v>
      </c>
      <c r="H627" s="103">
        <f>SUM(G467)</f>
        <v>5070891.3899999997</v>
      </c>
      <c r="I627" s="139" t="s">
        <v>107</v>
      </c>
      <c r="J627" s="108">
        <f>G627-H627</f>
        <v>0</v>
      </c>
      <c r="K627" s="84"/>
      <c r="L627" s="87"/>
      <c r="M627" s="8"/>
    </row>
    <row r="628" spans="1:13" s="3" customFormat="1" ht="12" customHeight="1" x14ac:dyDescent="0.15">
      <c r="A628" s="22"/>
      <c r="B628" s="104"/>
      <c r="C628" s="104"/>
      <c r="D628" s="104"/>
      <c r="E628" s="104"/>
      <c r="F628" s="119" t="s">
        <v>664</v>
      </c>
      <c r="G628" s="108">
        <f>H192</f>
        <v>12242171.899999999</v>
      </c>
      <c r="H628" s="103">
        <f>SUM(H467)</f>
        <v>12242171.899999999</v>
      </c>
      <c r="I628" s="139" t="s">
        <v>108</v>
      </c>
      <c r="J628" s="108">
        <f>G628-H628</f>
        <v>0</v>
      </c>
      <c r="K628" s="84"/>
      <c r="L628" s="87"/>
      <c r="M628" s="8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665</v>
      </c>
      <c r="G629" s="108">
        <f>I192</f>
        <v>7150000</v>
      </c>
      <c r="H629" s="103">
        <f>SUM(I467)</f>
        <v>7150000</v>
      </c>
      <c r="I629" s="139" t="s">
        <v>109</v>
      </c>
      <c r="J629" s="108">
        <f>G629-H629</f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666</v>
      </c>
      <c r="G630" s="108">
        <f>J192</f>
        <v>460565.79000000004</v>
      </c>
      <c r="H630" s="103">
        <f>SUM(J467)</f>
        <v>460565.79000000004</v>
      </c>
      <c r="I630" s="139" t="s">
        <v>110</v>
      </c>
      <c r="J630" s="108">
        <f>G630-H630</f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395</v>
      </c>
      <c r="G631" s="108">
        <f>SUM(L270)</f>
        <v>135493910</v>
      </c>
      <c r="H631" s="103">
        <f>SUM(F471)</f>
        <v>135493910</v>
      </c>
      <c r="I631" s="139" t="s">
        <v>111</v>
      </c>
      <c r="J631" s="108">
        <f t="shared" si="50"/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396</v>
      </c>
      <c r="G632" s="108">
        <f>SUM(L351)</f>
        <v>12058324.559999997</v>
      </c>
      <c r="H632" s="103">
        <f>SUM(H471)</f>
        <v>12058324.560000001</v>
      </c>
      <c r="I632" s="139" t="s">
        <v>112</v>
      </c>
      <c r="J632" s="108">
        <f>G632-H632</f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41" t="s">
        <v>247</v>
      </c>
      <c r="G633" s="108">
        <f>I361</f>
        <v>2465813.13</v>
      </c>
      <c r="H633" s="103">
        <f>I368</f>
        <v>2465813.13</v>
      </c>
      <c r="I633" s="142" t="s">
        <v>248</v>
      </c>
      <c r="J633" s="108">
        <f>G633-H633</f>
        <v>0</v>
      </c>
      <c r="K633" s="84"/>
      <c r="L633" s="87"/>
      <c r="M633" s="8"/>
    </row>
    <row r="634" spans="1:13" s="168" customFormat="1" ht="12" customHeight="1" x14ac:dyDescent="0.15">
      <c r="A634" s="22"/>
      <c r="B634" s="104"/>
      <c r="C634" s="104"/>
      <c r="D634" s="104"/>
      <c r="E634" s="104"/>
      <c r="F634" s="119" t="s">
        <v>113</v>
      </c>
      <c r="G634" s="108">
        <f>SUM(L361)</f>
        <v>5051927.5600000005</v>
      </c>
      <c r="H634" s="103">
        <f>SUM(G471)</f>
        <v>5051927.5599999996</v>
      </c>
      <c r="I634" s="139" t="s">
        <v>114</v>
      </c>
      <c r="J634" s="108">
        <f t="shared" si="50"/>
        <v>0</v>
      </c>
      <c r="K634" s="84"/>
      <c r="L634" s="87"/>
      <c r="M634" s="167"/>
    </row>
    <row r="635" spans="1:13" s="168" customFormat="1" ht="12" customHeight="1" x14ac:dyDescent="0.15">
      <c r="A635" s="22"/>
      <c r="B635" s="104"/>
      <c r="C635" s="104"/>
      <c r="D635" s="104"/>
      <c r="E635" s="104"/>
      <c r="F635" s="119" t="s">
        <v>115</v>
      </c>
      <c r="G635" s="108">
        <f>SUM(L381)</f>
        <v>7752298.9999999991</v>
      </c>
      <c r="H635" s="103">
        <f>SUM(I471)</f>
        <v>7752299</v>
      </c>
      <c r="I635" s="139" t="s">
        <v>116</v>
      </c>
      <c r="J635" s="108">
        <f t="shared" si="50"/>
        <v>0</v>
      </c>
      <c r="K635" s="84"/>
      <c r="L635" s="87"/>
      <c r="M635" s="167"/>
    </row>
    <row r="636" spans="1:13" s="3" customFormat="1" ht="12" customHeight="1" x14ac:dyDescent="0.15">
      <c r="A636" s="160"/>
      <c r="B636" s="161"/>
      <c r="C636" s="161"/>
      <c r="D636" s="161"/>
      <c r="E636" s="161"/>
      <c r="F636" s="162" t="s">
        <v>478</v>
      </c>
      <c r="G636" s="150">
        <f>SUM(L407)</f>
        <v>460565.79000000004</v>
      </c>
      <c r="H636" s="163">
        <f>SUM(J467)</f>
        <v>460565.79000000004</v>
      </c>
      <c r="I636" s="164" t="s">
        <v>110</v>
      </c>
      <c r="J636" s="150">
        <f t="shared" si="50"/>
        <v>0</v>
      </c>
      <c r="K636" s="165"/>
      <c r="L636" s="166"/>
      <c r="M636" s="8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479</v>
      </c>
      <c r="G637" s="150">
        <f>SUM(L433)</f>
        <v>265050.49</v>
      </c>
      <c r="H637" s="163">
        <f>SUM(J471)</f>
        <v>265050.49</v>
      </c>
      <c r="I637" s="164" t="s">
        <v>117</v>
      </c>
      <c r="J637" s="150">
        <f t="shared" si="50"/>
        <v>0</v>
      </c>
      <c r="K637" s="165"/>
      <c r="L637" s="166"/>
      <c r="M637" s="8"/>
    </row>
    <row r="638" spans="1:13" s="3" customFormat="1" ht="12" customHeight="1" x14ac:dyDescent="0.15">
      <c r="A638" s="22"/>
      <c r="B638" s="104"/>
      <c r="C638" s="104"/>
      <c r="D638" s="104"/>
      <c r="E638" s="104"/>
      <c r="F638" s="119" t="s">
        <v>118</v>
      </c>
      <c r="G638" s="108">
        <f>SUM(F445)</f>
        <v>4906454.21</v>
      </c>
      <c r="H638" s="103">
        <f>SUM(F460)</f>
        <v>4906454.21</v>
      </c>
      <c r="I638" s="139" t="s">
        <v>868</v>
      </c>
      <c r="J638" s="108">
        <f t="shared" si="50"/>
        <v>0</v>
      </c>
      <c r="K638" s="84"/>
      <c r="L638" s="87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119</v>
      </c>
      <c r="G639" s="108">
        <f>SUM(G445)</f>
        <v>1274197.3199999998</v>
      </c>
      <c r="H639" s="103">
        <f>SUM(G460)</f>
        <v>1274197.32</v>
      </c>
      <c r="I639" s="139" t="s">
        <v>869</v>
      </c>
      <c r="J639" s="108">
        <f t="shared" si="50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120</v>
      </c>
      <c r="G640" s="108">
        <f>SUM(H445)</f>
        <v>4617458.2</v>
      </c>
      <c r="H640" s="103">
        <f>SUM(H460)</f>
        <v>4617458.1999999993</v>
      </c>
      <c r="I640" s="139" t="s">
        <v>870</v>
      </c>
      <c r="J640" s="108">
        <f t="shared" si="50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121</v>
      </c>
      <c r="G641" s="108">
        <f>SUM(I445)</f>
        <v>10798109.729999999</v>
      </c>
      <c r="H641" s="103">
        <f>SUM(I460)</f>
        <v>10798109.729999999</v>
      </c>
      <c r="I641" s="139" t="s">
        <v>871</v>
      </c>
      <c r="J641" s="108">
        <f t="shared" si="50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249</v>
      </c>
      <c r="G642" s="108">
        <f>J56</f>
        <v>0</v>
      </c>
      <c r="H642" s="103">
        <f>F407</f>
        <v>0</v>
      </c>
      <c r="I642" s="139" t="s">
        <v>480</v>
      </c>
      <c r="J642" s="108">
        <f t="shared" si="50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667</v>
      </c>
      <c r="G643" s="108">
        <f>J95</f>
        <v>75598.19</v>
      </c>
      <c r="H643" s="103">
        <f>H407</f>
        <v>75598.19</v>
      </c>
      <c r="I643" s="139" t="s">
        <v>481</v>
      </c>
      <c r="J643" s="108">
        <f t="shared" si="50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668</v>
      </c>
      <c r="G644" s="108">
        <f>J182</f>
        <v>228112.06</v>
      </c>
      <c r="H644" s="103">
        <f>G407</f>
        <v>228112.06</v>
      </c>
      <c r="I644" s="139" t="s">
        <v>482</v>
      </c>
      <c r="J644" s="108">
        <f t="shared" si="50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666</v>
      </c>
      <c r="G645" s="108">
        <f>J192</f>
        <v>460565.79000000004</v>
      </c>
      <c r="H645" s="103">
        <f>L407</f>
        <v>460565.79000000004</v>
      </c>
      <c r="I645" s="139" t="s">
        <v>478</v>
      </c>
      <c r="J645" s="108">
        <f t="shared" si="50"/>
        <v>0</v>
      </c>
      <c r="K645" s="84"/>
      <c r="L645" s="87"/>
      <c r="M645" s="8"/>
    </row>
    <row r="646" spans="1:13" s="3" customFormat="1" ht="12" customHeight="1" x14ac:dyDescent="0.15">
      <c r="A646" s="22"/>
      <c r="B646" s="104"/>
      <c r="C646" s="104"/>
      <c r="D646" s="104"/>
      <c r="E646" s="104"/>
      <c r="F646" s="119" t="s">
        <v>51</v>
      </c>
      <c r="G646" s="108">
        <f>K597</f>
        <v>4787005.22</v>
      </c>
      <c r="H646" s="103">
        <f>L207+L225+L243</f>
        <v>4787005.22</v>
      </c>
      <c r="I646" s="139" t="s">
        <v>397</v>
      </c>
      <c r="J646" s="108">
        <f t="shared" si="50"/>
        <v>0</v>
      </c>
      <c r="K646" s="84"/>
      <c r="L646" s="87"/>
      <c r="M646" s="8"/>
    </row>
    <row r="647" spans="1:13" s="3" customFormat="1" ht="12" customHeight="1" x14ac:dyDescent="0.15">
      <c r="A647" s="22"/>
      <c r="B647" s="104"/>
      <c r="C647" s="104"/>
      <c r="D647" s="104"/>
      <c r="E647" s="104"/>
      <c r="F647" s="119" t="s">
        <v>52</v>
      </c>
      <c r="G647" s="108">
        <f>K604</f>
        <v>1751704.29</v>
      </c>
      <c r="H647" s="103">
        <f>(J256+J337)-(J254+J335)</f>
        <v>1751704.29</v>
      </c>
      <c r="I647" s="139" t="s">
        <v>703</v>
      </c>
      <c r="J647" s="108">
        <f t="shared" si="50"/>
        <v>0</v>
      </c>
      <c r="K647" s="84"/>
      <c r="L647" s="87"/>
      <c r="M647" s="8"/>
    </row>
    <row r="648" spans="1:13" s="3" customFormat="1" ht="12" customHeight="1" x14ac:dyDescent="0.15">
      <c r="A648" s="22"/>
      <c r="B648" s="104"/>
      <c r="C648" s="104"/>
      <c r="D648" s="104"/>
      <c r="E648" s="104"/>
      <c r="F648" s="119" t="s">
        <v>388</v>
      </c>
      <c r="G648" s="108">
        <f>L207</f>
        <v>1631807.79</v>
      </c>
      <c r="H648" s="103">
        <f>H597</f>
        <v>1631807.79</v>
      </c>
      <c r="I648" s="139" t="s">
        <v>389</v>
      </c>
      <c r="J648" s="108">
        <f t="shared" si="50"/>
        <v>0</v>
      </c>
      <c r="K648" s="84"/>
      <c r="L648" s="87"/>
      <c r="M648" s="8"/>
    </row>
    <row r="649" spans="1:13" s="3" customFormat="1" ht="12" customHeight="1" x14ac:dyDescent="0.15">
      <c r="A649" s="22"/>
      <c r="B649" s="104"/>
      <c r="C649" s="104"/>
      <c r="D649" s="104"/>
      <c r="E649" s="104"/>
      <c r="F649" s="119" t="s">
        <v>393</v>
      </c>
      <c r="G649" s="108">
        <f>L225</f>
        <v>1713696.46</v>
      </c>
      <c r="H649" s="103">
        <f>I597</f>
        <v>1713696.46</v>
      </c>
      <c r="I649" s="139" t="s">
        <v>390</v>
      </c>
      <c r="J649" s="108">
        <f t="shared" si="50"/>
        <v>0</v>
      </c>
      <c r="K649" s="84"/>
      <c r="L649" s="87"/>
      <c r="M649" s="8"/>
    </row>
    <row r="650" spans="1:13" s="3" customFormat="1" ht="12" customHeight="1" x14ac:dyDescent="0.15">
      <c r="A650" s="22"/>
      <c r="B650" s="104"/>
      <c r="C650" s="104"/>
      <c r="D650" s="104"/>
      <c r="E650" s="104"/>
      <c r="F650" s="119" t="s">
        <v>394</v>
      </c>
      <c r="G650" s="108">
        <f>L243</f>
        <v>1441500.97</v>
      </c>
      <c r="H650" s="103">
        <f>J597</f>
        <v>1441500.97</v>
      </c>
      <c r="I650" s="139" t="s">
        <v>391</v>
      </c>
      <c r="J650" s="108">
        <f t="shared" si="50"/>
        <v>0</v>
      </c>
      <c r="K650" s="84"/>
      <c r="L650" s="87"/>
      <c r="M650" s="8"/>
    </row>
    <row r="651" spans="1:13" s="3" customFormat="1" ht="12" customHeight="1" x14ac:dyDescent="0.15">
      <c r="A651" s="22"/>
      <c r="B651" s="104"/>
      <c r="C651" s="104"/>
      <c r="D651" s="104"/>
      <c r="E651" s="104"/>
      <c r="F651" s="119" t="s">
        <v>669</v>
      </c>
      <c r="G651" s="108">
        <f>G178</f>
        <v>0</v>
      </c>
      <c r="H651" s="103">
        <f>K262+K344</f>
        <v>0</v>
      </c>
      <c r="I651" s="139" t="s">
        <v>398</v>
      </c>
      <c r="J651" s="108">
        <f t="shared" si="50"/>
        <v>0</v>
      </c>
      <c r="K651" s="84"/>
      <c r="L651" s="87"/>
      <c r="M651" s="8"/>
    </row>
    <row r="652" spans="1:13" s="3" customFormat="1" ht="12" customHeight="1" x14ac:dyDescent="0.15">
      <c r="A652" s="22"/>
      <c r="B652" s="104"/>
      <c r="C652" s="104"/>
      <c r="D652" s="104"/>
      <c r="E652" s="104"/>
      <c r="F652" s="119" t="s">
        <v>670</v>
      </c>
      <c r="G652" s="108">
        <f>H178</f>
        <v>0</v>
      </c>
      <c r="H652" s="103">
        <f>K263</f>
        <v>0</v>
      </c>
      <c r="I652" s="139" t="s">
        <v>399</v>
      </c>
      <c r="J652" s="108">
        <f t="shared" si="50"/>
        <v>0</v>
      </c>
      <c r="K652" s="84"/>
      <c r="L652" s="87"/>
      <c r="M652" s="8"/>
    </row>
    <row r="653" spans="1:13" s="3" customFormat="1" ht="12" customHeight="1" x14ac:dyDescent="0.15">
      <c r="A653" s="22"/>
      <c r="B653" s="104"/>
      <c r="C653" s="104"/>
      <c r="D653" s="104"/>
      <c r="E653" s="104"/>
      <c r="F653" s="119" t="s">
        <v>671</v>
      </c>
      <c r="G653" s="108">
        <f>I178</f>
        <v>0</v>
      </c>
      <c r="H653" s="103">
        <f>K264+K345</f>
        <v>0</v>
      </c>
      <c r="I653" s="139" t="s">
        <v>400</v>
      </c>
      <c r="J653" s="108">
        <f t="shared" si="50"/>
        <v>0</v>
      </c>
      <c r="K653" s="84"/>
      <c r="L653" s="87"/>
      <c r="M653" s="8"/>
    </row>
    <row r="654" spans="1:13" s="3" customFormat="1" ht="12" customHeight="1" x14ac:dyDescent="0.15">
      <c r="A654" s="22"/>
      <c r="B654" s="104"/>
      <c r="C654" s="104"/>
      <c r="D654" s="104"/>
      <c r="E654" s="104"/>
      <c r="F654" s="119" t="s">
        <v>672</v>
      </c>
      <c r="G654" s="108">
        <f>J178+J180</f>
        <v>100000</v>
      </c>
      <c r="H654" s="103">
        <f>K265+K346</f>
        <v>100000</v>
      </c>
      <c r="I654" s="139" t="s">
        <v>401</v>
      </c>
      <c r="J654" s="108">
        <f t="shared" si="50"/>
        <v>0</v>
      </c>
      <c r="K654" s="84"/>
      <c r="L654" s="87"/>
      <c r="M654" s="8"/>
    </row>
    <row r="655" spans="1:13" s="3" customFormat="1" ht="12" customHeight="1" x14ac:dyDescent="0.15">
      <c r="A655" s="126"/>
      <c r="B655" s="126"/>
      <c r="C655" s="126"/>
      <c r="D655" s="126"/>
      <c r="E655" s="126"/>
      <c r="F655" s="26" t="s">
        <v>122</v>
      </c>
      <c r="G655" s="19"/>
      <c r="H655" s="103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62235697.659999996</v>
      </c>
      <c r="G659" s="19">
        <f>(L228+L308+L358)</f>
        <v>31236957.170000002</v>
      </c>
      <c r="H659" s="19">
        <f>(L246+L327+L359)</f>
        <v>45047452.910000004</v>
      </c>
      <c r="I659" s="19">
        <f>SUM(F659:H659)</f>
        <v>138520107.74000001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955078.66362812195</v>
      </c>
      <c r="G660" s="19">
        <f>(L358/IF(SUM(L357:L359)=0,1,SUM(L357:L359))*(SUM(G96:G109)))</f>
        <v>557436.33882967569</v>
      </c>
      <c r="H660" s="19">
        <f>(L359/IF(SUM(L357:L359)=0,1,SUM(L357:L359))*(SUM(G96:G109)))</f>
        <v>751765.62754220236</v>
      </c>
      <c r="I660" s="19">
        <f>SUM(F660:H660)</f>
        <v>2264280.63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1644905.28</v>
      </c>
      <c r="G661" s="19">
        <f>(L225+L305)-(J225+J305)</f>
        <v>1726793.95</v>
      </c>
      <c r="H661" s="19">
        <f>(L243+L324)-(J243+J324)</f>
        <v>1454645.93</v>
      </c>
      <c r="I661" s="19">
        <f>SUM(F661:H661)</f>
        <v>4826345.16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8"/>
      <c r="C662" s="168"/>
      <c r="D662" s="168"/>
      <c r="E662" s="168"/>
      <c r="F662" s="199">
        <f>SUM(F574:F586)+SUM(H601:H603)+SUM(L610)</f>
        <v>1204545.03</v>
      </c>
      <c r="G662" s="199">
        <f>SUM(G574:G586)+SUM(I601:I603)+L611</f>
        <v>976882.21</v>
      </c>
      <c r="H662" s="199">
        <f>SUM(H574:H586)+SUM(J601:J603)+L612</f>
        <v>3503895.61</v>
      </c>
      <c r="I662" s="19">
        <f>SUM(F662:H662)</f>
        <v>5685322.8499999996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58431168.686371878</v>
      </c>
      <c r="G663" s="19">
        <f>G659-SUM(G660:G662)</f>
        <v>27975844.671170324</v>
      </c>
      <c r="H663" s="19">
        <f>H659-SUM(H660:H662)</f>
        <v>39337145.7424578</v>
      </c>
      <c r="I663" s="19">
        <f>I659-SUM(I660:I662)</f>
        <v>125744159.10000001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5221.87</v>
      </c>
      <c r="G664" s="247">
        <v>2541.2600000000002</v>
      </c>
      <c r="H664" s="247">
        <v>3652.78</v>
      </c>
      <c r="I664" s="19">
        <f>SUM(F664:H664)</f>
        <v>11415.91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11189.7</v>
      </c>
      <c r="G666" s="19">
        <f>ROUND(G663/G664,2)</f>
        <v>11008.65</v>
      </c>
      <c r="H666" s="19">
        <f>ROUND(H663/H664,2)</f>
        <v>10769.1</v>
      </c>
      <c r="I666" s="19">
        <f>ROUND(I663/I664,2)</f>
        <v>11014.82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24.37</v>
      </c>
      <c r="I669" s="19">
        <f>SUM(F669:H669)</f>
        <v>24.37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11189.7</v>
      </c>
      <c r="G671" s="19">
        <f>ROUND((G663+G668)/(G664+G669),2)</f>
        <v>11008.65</v>
      </c>
      <c r="H671" s="19">
        <f>ROUND((H663+H668)/(H664+H669),2)</f>
        <v>10697.73</v>
      </c>
      <c r="I671" s="19">
        <f>ROUND((I663+I668)/(I664+I669),2)</f>
        <v>10991.35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Nashua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2" t="s">
        <v>784</v>
      </c>
      <c r="B3" s="272"/>
      <c r="C3" s="272"/>
    </row>
    <row r="4" spans="1:3" x14ac:dyDescent="0.2">
      <c r="A4" s="236"/>
      <c r="B4" s="237" t="str">
        <f>'DOE25'!H1</f>
        <v>DOE 25  2011-2012</v>
      </c>
      <c r="C4" s="236"/>
    </row>
    <row r="5" spans="1:3" x14ac:dyDescent="0.2">
      <c r="A5" s="233"/>
      <c r="B5" s="232"/>
    </row>
    <row r="6" spans="1:3" x14ac:dyDescent="0.2">
      <c r="A6" s="227"/>
      <c r="B6" s="271" t="s">
        <v>783</v>
      </c>
      <c r="C6" s="271"/>
    </row>
    <row r="7" spans="1:3" x14ac:dyDescent="0.2">
      <c r="A7" s="239" t="s">
        <v>786</v>
      </c>
      <c r="B7" s="269" t="s">
        <v>782</v>
      </c>
      <c r="C7" s="270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37433916.150000006</v>
      </c>
      <c r="C9" s="229">
        <f>'DOE25'!G196+'DOE25'!G214+'DOE25'!G232+'DOE25'!G275+'DOE25'!G294+'DOE25'!G313</f>
        <v>13411345.92</v>
      </c>
    </row>
    <row r="10" spans="1:3" x14ac:dyDescent="0.2">
      <c r="A10" t="s">
        <v>779</v>
      </c>
      <c r="B10" s="240">
        <v>34719750.439999998</v>
      </c>
      <c r="C10" s="240">
        <v>12415000.27</v>
      </c>
    </row>
    <row r="11" spans="1:3" x14ac:dyDescent="0.2">
      <c r="A11" t="s">
        <v>780</v>
      </c>
      <c r="B11" s="240">
        <v>507671.14</v>
      </c>
      <c r="C11" s="240">
        <v>175116.94</v>
      </c>
    </row>
    <row r="12" spans="1:3" x14ac:dyDescent="0.2">
      <c r="A12" t="s">
        <v>781</v>
      </c>
      <c r="B12" s="240">
        <v>2206494.5699999998</v>
      </c>
      <c r="C12" s="240">
        <v>821228.71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37433916.149999999</v>
      </c>
      <c r="C13" s="231">
        <f>SUM(C10:C12)</f>
        <v>13411345.919999998</v>
      </c>
    </row>
    <row r="14" spans="1:3" x14ac:dyDescent="0.2">
      <c r="B14" s="230"/>
      <c r="C14" s="230"/>
    </row>
    <row r="15" spans="1:3" x14ac:dyDescent="0.2">
      <c r="B15" s="271" t="s">
        <v>783</v>
      </c>
      <c r="C15" s="271"/>
    </row>
    <row r="16" spans="1:3" x14ac:dyDescent="0.2">
      <c r="A16" s="239" t="s">
        <v>787</v>
      </c>
      <c r="B16" s="269" t="s">
        <v>707</v>
      </c>
      <c r="C16" s="270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16564576.569999998</v>
      </c>
      <c r="C18" s="229">
        <f>'DOE25'!G197+'DOE25'!G215+'DOE25'!G233+'DOE25'!G276+'DOE25'!G295+'DOE25'!G314</f>
        <v>5590828.7699999996</v>
      </c>
    </row>
    <row r="19" spans="1:3" x14ac:dyDescent="0.2">
      <c r="A19" t="s">
        <v>779</v>
      </c>
      <c r="B19" s="240">
        <v>10226202.060000001</v>
      </c>
      <c r="C19" s="240">
        <v>3197778.34</v>
      </c>
    </row>
    <row r="20" spans="1:3" x14ac:dyDescent="0.2">
      <c r="A20" t="s">
        <v>780</v>
      </c>
      <c r="B20" s="240">
        <v>5529816.3099999996</v>
      </c>
      <c r="C20" s="240">
        <v>2087369.17</v>
      </c>
    </row>
    <row r="21" spans="1:3" x14ac:dyDescent="0.2">
      <c r="A21" t="s">
        <v>781</v>
      </c>
      <c r="B21" s="240">
        <v>808558.2</v>
      </c>
      <c r="C21" s="240">
        <v>305681.26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16564576.57</v>
      </c>
      <c r="C22" s="231">
        <f>SUM(C19:C21)</f>
        <v>5590828.7699999996</v>
      </c>
    </row>
    <row r="23" spans="1:3" x14ac:dyDescent="0.2">
      <c r="B23" s="230"/>
      <c r="C23" s="230"/>
    </row>
    <row r="24" spans="1:3" x14ac:dyDescent="0.2">
      <c r="B24" s="271" t="s">
        <v>783</v>
      </c>
      <c r="C24" s="271"/>
    </row>
    <row r="25" spans="1:3" x14ac:dyDescent="0.2">
      <c r="A25" s="239" t="s">
        <v>788</v>
      </c>
      <c r="B25" s="269" t="s">
        <v>708</v>
      </c>
      <c r="C25" s="270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3119511.9200000004</v>
      </c>
      <c r="C27" s="234">
        <f>'DOE25'!G198+'DOE25'!G216+'DOE25'!G234+'DOE25'!G277+'DOE25'!G296+'DOE25'!G315</f>
        <v>1174740.56</v>
      </c>
    </row>
    <row r="28" spans="1:3" x14ac:dyDescent="0.2">
      <c r="A28" t="s">
        <v>779</v>
      </c>
      <c r="B28" s="240">
        <v>2911413.18</v>
      </c>
      <c r="C28" s="240">
        <v>1071052.74</v>
      </c>
    </row>
    <row r="29" spans="1:3" x14ac:dyDescent="0.2">
      <c r="A29" t="s">
        <v>780</v>
      </c>
      <c r="B29" s="240">
        <v>44902.42</v>
      </c>
      <c r="C29" s="240">
        <v>18535.759999999998</v>
      </c>
    </row>
    <row r="30" spans="1:3" x14ac:dyDescent="0.2">
      <c r="A30" t="s">
        <v>781</v>
      </c>
      <c r="B30" s="240">
        <v>163196.32</v>
      </c>
      <c r="C30" s="240">
        <v>85152.06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3119511.92</v>
      </c>
      <c r="C31" s="231">
        <f>SUM(C28:C30)</f>
        <v>1174740.56</v>
      </c>
    </row>
    <row r="33" spans="1:3" x14ac:dyDescent="0.2">
      <c r="B33" s="271" t="s">
        <v>783</v>
      </c>
      <c r="C33" s="271"/>
    </row>
    <row r="34" spans="1:3" x14ac:dyDescent="0.2">
      <c r="A34" s="239" t="s">
        <v>789</v>
      </c>
      <c r="B34" s="269" t="s">
        <v>709</v>
      </c>
      <c r="C34" s="270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1314936.4400000002</v>
      </c>
      <c r="C36" s="235">
        <f>'DOE25'!G199+'DOE25'!G217+'DOE25'!G235+'DOE25'!G278+'DOE25'!G297+'DOE25'!G316</f>
        <v>330429.84999999998</v>
      </c>
    </row>
    <row r="37" spans="1:3" x14ac:dyDescent="0.2">
      <c r="A37" t="s">
        <v>779</v>
      </c>
      <c r="B37" s="240">
        <v>130950.18</v>
      </c>
      <c r="C37" s="240">
        <v>14292.1</v>
      </c>
    </row>
    <row r="38" spans="1:3" x14ac:dyDescent="0.2">
      <c r="A38" t="s">
        <v>780</v>
      </c>
      <c r="B38" s="240">
        <v>2640.64</v>
      </c>
      <c r="C38" s="240">
        <v>1685.65</v>
      </c>
    </row>
    <row r="39" spans="1:3" x14ac:dyDescent="0.2">
      <c r="A39" t="s">
        <v>781</v>
      </c>
      <c r="B39" s="240">
        <v>1181345.6200000001</v>
      </c>
      <c r="C39" s="240">
        <v>314452.09999999998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1314936.4400000002</v>
      </c>
      <c r="C40" s="231">
        <f>SUM(C37:C39)</f>
        <v>330429.84999999998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sqref="A1:H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1" t="s">
        <v>790</v>
      </c>
      <c r="B1" s="276"/>
      <c r="C1" s="276"/>
      <c r="D1" s="276"/>
      <c r="E1" s="276"/>
      <c r="F1" s="276"/>
      <c r="G1" s="276"/>
      <c r="H1" s="276"/>
      <c r="I1" s="180"/>
    </row>
    <row r="2" spans="1:9" x14ac:dyDescent="0.2">
      <c r="A2" s="33" t="s">
        <v>717</v>
      </c>
      <c r="B2" s="264" t="str">
        <f>'DOE25'!A2</f>
        <v>Nashua School District</v>
      </c>
      <c r="C2" s="180"/>
      <c r="D2" s="180" t="s">
        <v>792</v>
      </c>
      <c r="E2" s="180" t="s">
        <v>794</v>
      </c>
      <c r="F2" s="273" t="s">
        <v>821</v>
      </c>
      <c r="G2" s="274"/>
      <c r="H2" s="275"/>
      <c r="I2" s="180"/>
    </row>
    <row r="3" spans="1:9" x14ac:dyDescent="0.2">
      <c r="A3" s="180" t="s">
        <v>94</v>
      </c>
      <c r="B3" s="228" t="s">
        <v>10</v>
      </c>
      <c r="C3" s="180" t="s">
        <v>5</v>
      </c>
      <c r="D3" s="180" t="s">
        <v>793</v>
      </c>
      <c r="E3" s="180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77201270.730000004</v>
      </c>
      <c r="D5" s="20">
        <f>SUM('DOE25'!L196:L199)+SUM('DOE25'!L214:L217)+SUM('DOE25'!L232:L235)-F5-G5</f>
        <v>77096374.900000006</v>
      </c>
      <c r="E5" s="243"/>
      <c r="F5" s="254">
        <f>SUM('DOE25'!J196:J199)+SUM('DOE25'!J214:J217)+SUM('DOE25'!J232:J235)</f>
        <v>93683.58</v>
      </c>
      <c r="G5" s="53">
        <f>SUM('DOE25'!K196:K199)+SUM('DOE25'!K214:K217)+SUM('DOE25'!K232:K235)</f>
        <v>11212.25</v>
      </c>
      <c r="H5" s="258"/>
    </row>
    <row r="6" spans="1:9" x14ac:dyDescent="0.2">
      <c r="A6" s="32">
        <v>2100</v>
      </c>
      <c r="B6" t="s">
        <v>801</v>
      </c>
      <c r="C6" s="245">
        <f t="shared" si="0"/>
        <v>10710165.57</v>
      </c>
      <c r="D6" s="20">
        <f>'DOE25'!L201+'DOE25'!L219+'DOE25'!L237-F6-G6</f>
        <v>10709188.23</v>
      </c>
      <c r="E6" s="243"/>
      <c r="F6" s="254">
        <f>'DOE25'!J201+'DOE25'!J219+'DOE25'!J237</f>
        <v>977.34</v>
      </c>
      <c r="G6" s="53">
        <f>'DOE25'!K201+'DOE25'!K219+'DOE25'!K237</f>
        <v>0</v>
      </c>
      <c r="H6" s="258"/>
    </row>
    <row r="7" spans="1:9" x14ac:dyDescent="0.2">
      <c r="A7" s="32">
        <v>2200</v>
      </c>
      <c r="B7" t="s">
        <v>834</v>
      </c>
      <c r="C7" s="245">
        <f t="shared" si="0"/>
        <v>4539604</v>
      </c>
      <c r="D7" s="20">
        <f>'DOE25'!L202+'DOE25'!L220+'DOE25'!L238-F7-G7</f>
        <v>3374558.99</v>
      </c>
      <c r="E7" s="243"/>
      <c r="F7" s="254">
        <f>'DOE25'!J202+'DOE25'!J220+'DOE25'!J238</f>
        <v>1077230.7799999998</v>
      </c>
      <c r="G7" s="53">
        <f>'DOE25'!K202+'DOE25'!K220+'DOE25'!K238</f>
        <v>87814.23000000001</v>
      </c>
      <c r="H7" s="258"/>
    </row>
    <row r="8" spans="1:9" x14ac:dyDescent="0.2">
      <c r="A8" s="32">
        <v>2300</v>
      </c>
      <c r="B8" t="s">
        <v>802</v>
      </c>
      <c r="C8" s="245">
        <f t="shared" si="0"/>
        <v>2673487.9500000002</v>
      </c>
      <c r="D8" s="243"/>
      <c r="E8" s="20">
        <f>'DOE25'!L203+'DOE25'!L221+'DOE25'!L239-F8-G8-D9-D11</f>
        <v>2362801.41</v>
      </c>
      <c r="F8" s="254">
        <f>'DOE25'!J203+'DOE25'!J221+'DOE25'!J239</f>
        <v>12061.019999999999</v>
      </c>
      <c r="G8" s="53">
        <f>'DOE25'!K203+'DOE25'!K221+'DOE25'!K239</f>
        <v>298625.52</v>
      </c>
      <c r="H8" s="258"/>
    </row>
    <row r="9" spans="1:9" x14ac:dyDescent="0.2">
      <c r="A9" s="32">
        <v>2310</v>
      </c>
      <c r="B9" t="s">
        <v>818</v>
      </c>
      <c r="C9" s="245">
        <f t="shared" si="0"/>
        <v>89690.17</v>
      </c>
      <c r="D9" s="244">
        <v>89690.17</v>
      </c>
      <c r="E9" s="243"/>
      <c r="F9" s="257"/>
      <c r="G9" s="255"/>
      <c r="H9" s="258"/>
    </row>
    <row r="10" spans="1:9" x14ac:dyDescent="0.2">
      <c r="A10" s="32">
        <v>2317</v>
      </c>
      <c r="B10" t="s">
        <v>819</v>
      </c>
      <c r="C10" s="245">
        <f t="shared" si="0"/>
        <v>31625</v>
      </c>
      <c r="D10" s="243"/>
      <c r="E10" s="244">
        <v>31625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5">
        <f t="shared" si="0"/>
        <v>490889.24</v>
      </c>
      <c r="D11" s="244">
        <v>490889.24</v>
      </c>
      <c r="E11" s="243"/>
      <c r="F11" s="257"/>
      <c r="G11" s="255"/>
      <c r="H11" s="258"/>
    </row>
    <row r="12" spans="1:9" x14ac:dyDescent="0.2">
      <c r="A12" s="32">
        <v>2400</v>
      </c>
      <c r="B12" t="s">
        <v>715</v>
      </c>
      <c r="C12" s="245">
        <f t="shared" si="0"/>
        <v>6269865.6699999999</v>
      </c>
      <c r="D12" s="20">
        <f>'DOE25'!L204+'DOE25'!L222+'DOE25'!L240-F12-G12</f>
        <v>6269358.5700000003</v>
      </c>
      <c r="E12" s="243"/>
      <c r="F12" s="254">
        <f>'DOE25'!J204+'DOE25'!J222+'DOE25'!J240</f>
        <v>507.1</v>
      </c>
      <c r="G12" s="53">
        <f>'DOE25'!K204+'DOE25'!K222+'DOE25'!K240</f>
        <v>0</v>
      </c>
      <c r="H12" s="258"/>
    </row>
    <row r="13" spans="1:9" x14ac:dyDescent="0.2">
      <c r="A13" s="32">
        <v>2500</v>
      </c>
      <c r="B13" t="s">
        <v>803</v>
      </c>
      <c r="C13" s="245">
        <f t="shared" si="0"/>
        <v>759655.61</v>
      </c>
      <c r="D13" s="243"/>
      <c r="E13" s="20">
        <f>'DOE25'!L205+'DOE25'!L223+'DOE25'!L241-F13-G13</f>
        <v>759655.61</v>
      </c>
      <c r="F13" s="254">
        <f>'DOE25'!J205+'DOE25'!J223+'DOE25'!J241</f>
        <v>0</v>
      </c>
      <c r="G13" s="53">
        <f>'DOE25'!K205+'DOE25'!K223+'DOE25'!K241</f>
        <v>0</v>
      </c>
      <c r="H13" s="258"/>
    </row>
    <row r="14" spans="1:9" x14ac:dyDescent="0.2">
      <c r="A14" s="32">
        <v>2600</v>
      </c>
      <c r="B14" t="s">
        <v>832</v>
      </c>
      <c r="C14" s="245">
        <f t="shared" si="0"/>
        <v>13552575.09</v>
      </c>
      <c r="D14" s="20">
        <f>'DOE25'!L206+'DOE25'!L224+'DOE25'!L242-F14-G14</f>
        <v>13268586.649999999</v>
      </c>
      <c r="E14" s="243"/>
      <c r="F14" s="254">
        <f>'DOE25'!J206+'DOE25'!J224+'DOE25'!J242</f>
        <v>38433.47</v>
      </c>
      <c r="G14" s="53">
        <f>'DOE25'!K206+'DOE25'!K224+'DOE25'!K242</f>
        <v>245554.97</v>
      </c>
      <c r="H14" s="258"/>
    </row>
    <row r="15" spans="1:9" x14ac:dyDescent="0.2">
      <c r="A15" s="32">
        <v>2700</v>
      </c>
      <c r="B15" t="s">
        <v>804</v>
      </c>
      <c r="C15" s="245">
        <f t="shared" si="0"/>
        <v>4787005.22</v>
      </c>
      <c r="D15" s="20">
        <f>'DOE25'!L207+'DOE25'!L225+'DOE25'!L243-F15-G15</f>
        <v>4787005.22</v>
      </c>
      <c r="E15" s="243"/>
      <c r="F15" s="254">
        <f>'DOE25'!J207+'DOE25'!J225+'DOE25'!J243</f>
        <v>0</v>
      </c>
      <c r="G15" s="53">
        <f>'DOE25'!K207+'DOE25'!K225+'DOE25'!K243</f>
        <v>0</v>
      </c>
      <c r="H15" s="258"/>
    </row>
    <row r="16" spans="1:9" x14ac:dyDescent="0.2">
      <c r="A16" s="32">
        <v>2800</v>
      </c>
      <c r="B16" t="s">
        <v>805</v>
      </c>
      <c r="C16" s="245">
        <f t="shared" si="0"/>
        <v>517822.99</v>
      </c>
      <c r="D16" s="243"/>
      <c r="E16" s="20">
        <f>'DOE25'!L208+'DOE25'!L226+'DOE25'!L244-F16-G16</f>
        <v>517822.99</v>
      </c>
      <c r="F16" s="254">
        <f>'DOE25'!J208+'DOE25'!J226+'DOE25'!J244</f>
        <v>0</v>
      </c>
      <c r="G16" s="53">
        <f>'DOE25'!K208+'DOE25'!K226+'DOE25'!K244</f>
        <v>0</v>
      </c>
      <c r="H16" s="258"/>
    </row>
    <row r="17" spans="1:8" x14ac:dyDescent="0.2">
      <c r="A17" s="32">
        <v>1600</v>
      </c>
      <c r="B17" t="s">
        <v>806</v>
      </c>
      <c r="C17" s="245">
        <f t="shared" si="0"/>
        <v>188969.34000000003</v>
      </c>
      <c r="D17" s="20">
        <f>'DOE25'!L250-F17-G17</f>
        <v>188969.34000000003</v>
      </c>
      <c r="E17" s="243"/>
      <c r="F17" s="254">
        <f>'DOE25'!J250</f>
        <v>0</v>
      </c>
      <c r="G17" s="53">
        <f>'DOE25'!K250</f>
        <v>0</v>
      </c>
      <c r="H17" s="258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4">
        <f>'DOE25'!J251</f>
        <v>0</v>
      </c>
      <c r="G18" s="53">
        <f>'DOE25'!K251</f>
        <v>0</v>
      </c>
      <c r="H18" s="258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4">
        <f>'DOE25'!J252</f>
        <v>0</v>
      </c>
      <c r="G19" s="53">
        <f>'DOE25'!K252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5">
        <f>SUM(D22:H22)</f>
        <v>503175.59</v>
      </c>
      <c r="D22" s="243"/>
      <c r="E22" s="243"/>
      <c r="F22" s="254">
        <f>'DOE25'!L254+'DOE25'!L335</f>
        <v>503175.59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5">
        <f>SUM(D25:H25)</f>
        <v>13109732.83</v>
      </c>
      <c r="D25" s="243"/>
      <c r="E25" s="243"/>
      <c r="F25" s="257"/>
      <c r="G25" s="255"/>
      <c r="H25" s="256">
        <f>'DOE25'!L259+'DOE25'!L260+'DOE25'!L340+'DOE25'!L341</f>
        <v>13109732.83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5">
        <f>SUM(D29:H29)</f>
        <v>2806449.0500000007</v>
      </c>
      <c r="D29" s="20">
        <f>'DOE25'!L357+'DOE25'!L358+'DOE25'!L359-'DOE25'!I366-F29-G29</f>
        <v>2749966.8700000006</v>
      </c>
      <c r="E29" s="243"/>
      <c r="F29" s="254">
        <f>'DOE25'!J357+'DOE25'!J358+'DOE25'!J359</f>
        <v>56482.180000000008</v>
      </c>
      <c r="G29" s="53">
        <f>'DOE25'!K357+'DOE25'!K358+'DOE25'!K359</f>
        <v>0</v>
      </c>
      <c r="H29" s="258"/>
    </row>
    <row r="30" spans="1:8" x14ac:dyDescent="0.2">
      <c r="A30" s="32"/>
      <c r="D30" s="20"/>
      <c r="E30" s="243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5">
        <f>SUM(D31:H31)</f>
        <v>12048389.929999998</v>
      </c>
      <c r="D31" s="20">
        <f>'DOE25'!L289+'DOE25'!L308+'DOE25'!L327+'DOE25'!L332+'DOE25'!L333+'DOE25'!L334-F31-G31</f>
        <v>11079834.529999997</v>
      </c>
      <c r="E31" s="243"/>
      <c r="F31" s="254">
        <f>'DOE25'!J289+'DOE25'!J308+'DOE25'!J327+'DOE25'!J332+'DOE25'!J333+'DOE25'!J334</f>
        <v>528811</v>
      </c>
      <c r="G31" s="53">
        <f>'DOE25'!K289+'DOE25'!K308+'DOE25'!K327+'DOE25'!K332+'DOE25'!K333+'DOE25'!K334</f>
        <v>439744.4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6">
        <f>SUM(D5:D31)</f>
        <v>130104422.71000001</v>
      </c>
      <c r="E33" s="246">
        <f>SUM(E5:E31)</f>
        <v>3671905.01</v>
      </c>
      <c r="F33" s="246">
        <f>SUM(F5:F31)</f>
        <v>2311362.0599999996</v>
      </c>
      <c r="G33" s="246">
        <f>SUM(G5:G31)</f>
        <v>1082951.3700000001</v>
      </c>
      <c r="H33" s="246">
        <f>SUM(H5:H31)</f>
        <v>13109732.83</v>
      </c>
    </row>
    <row r="35" spans="2:8" ht="12" thickBot="1" x14ac:dyDescent="0.25">
      <c r="B35" s="252" t="s">
        <v>847</v>
      </c>
      <c r="D35" s="253">
        <f>E33</f>
        <v>3671905.01</v>
      </c>
      <c r="E35" s="248"/>
    </row>
    <row r="36" spans="2:8" ht="12" thickTop="1" x14ac:dyDescent="0.2">
      <c r="B36" t="s">
        <v>815</v>
      </c>
      <c r="D36" s="20">
        <f>D33</f>
        <v>130104422.71000001</v>
      </c>
    </row>
    <row r="38" spans="2:8" x14ac:dyDescent="0.2">
      <c r="B38" s="186" t="s">
        <v>859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05" activePane="bottomLeft" state="frozen"/>
      <selection pane="bottomLeft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Nashua School District</v>
      </c>
      <c r="B2" s="125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4"/>
      <c r="I2" s="124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3"/>
      <c r="I5" s="123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3"/>
      <c r="I6" s="123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0</v>
      </c>
      <c r="D8" s="94">
        <f>'DOE25'!G9</f>
        <v>0</v>
      </c>
      <c r="E8" s="94">
        <f>'DOE25'!H9</f>
        <v>0</v>
      </c>
      <c r="F8" s="94">
        <f>'DOE25'!I9</f>
        <v>0</v>
      </c>
      <c r="G8" s="94">
        <f>'DOE25'!J9</f>
        <v>6070614.709999999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0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4485047.6500000004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0</v>
      </c>
      <c r="D11" s="94">
        <f>'DOE25'!G12</f>
        <v>245091.63</v>
      </c>
      <c r="E11" s="94">
        <f>'DOE25'!H12</f>
        <v>0</v>
      </c>
      <c r="F11" s="94">
        <f>'DOE25'!I12</f>
        <v>1559237.57</v>
      </c>
      <c r="G11" s="94">
        <f>'DOE25'!J12</f>
        <v>242447.37000000002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0</v>
      </c>
      <c r="D12" s="94">
        <f>'DOE25'!G13</f>
        <v>139460.66</v>
      </c>
      <c r="E12" s="94">
        <f>'DOE25'!H13</f>
        <v>3651423.85</v>
      </c>
      <c r="F12" s="94">
        <f>'DOE25'!I13</f>
        <v>0</v>
      </c>
      <c r="G12" s="94">
        <f>'DOE25'!J13</f>
        <v>0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0</v>
      </c>
      <c r="D13" s="94">
        <f>'DOE25'!G14</f>
        <v>0</v>
      </c>
      <c r="E13" s="94">
        <f>'DOE25'!H14</f>
        <v>195260.93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4">
        <f>'DOE25'!I15</f>
        <v>0</v>
      </c>
      <c r="G14" s="24" t="s">
        <v>289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0</v>
      </c>
      <c r="E15" s="94">
        <f>'DOE25'!H16</f>
        <v>0</v>
      </c>
      <c r="F15" s="94">
        <f>'DOE25'!I16</f>
        <v>0</v>
      </c>
      <c r="G15" s="24" t="s">
        <v>289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384552.29000000004</v>
      </c>
      <c r="E18" s="41">
        <f>SUM(E8:E17)</f>
        <v>3846684.7800000003</v>
      </c>
      <c r="F18" s="41">
        <f>SUM(F8:F17)</f>
        <v>1559237.57</v>
      </c>
      <c r="G18" s="41">
        <f>SUM(G8:G17)</f>
        <v>10798109.729999999</v>
      </c>
      <c r="H18" s="123"/>
      <c r="I18" s="123"/>
    </row>
    <row r="19" spans="1:9" x14ac:dyDescent="0.2">
      <c r="A19" s="1" t="s">
        <v>303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0</v>
      </c>
      <c r="D21" s="94">
        <f>'DOE25'!G22</f>
        <v>0</v>
      </c>
      <c r="E21" s="94">
        <f>'DOE25'!H22</f>
        <v>1854129.77</v>
      </c>
      <c r="F21" s="94">
        <f>'DOE25'!I22</f>
        <v>0</v>
      </c>
      <c r="G21" s="94">
        <f>'DOE25'!J22</f>
        <v>9647.2000000000007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0</v>
      </c>
      <c r="D23" s="94">
        <f>'DOE25'!G24</f>
        <v>0</v>
      </c>
      <c r="E23" s="94">
        <f>'DOE25'!H24</f>
        <v>4297.84</v>
      </c>
      <c r="F23" s="94">
        <f>'DOE25'!I24</f>
        <v>16802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0</v>
      </c>
      <c r="F24" s="94">
        <f>'DOE25'!I25</f>
        <v>0</v>
      </c>
      <c r="G24" s="24" t="s">
        <v>289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289</v>
      </c>
      <c r="E25" s="24" t="s">
        <v>289</v>
      </c>
      <c r="F25" s="94">
        <f>'DOE25'!I26</f>
        <v>0</v>
      </c>
      <c r="G25" s="24" t="s">
        <v>289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289</v>
      </c>
      <c r="E26" s="24" t="s">
        <v>289</v>
      </c>
      <c r="F26" s="94">
        <f>'DOE25'!I27</f>
        <v>0</v>
      </c>
      <c r="G26" s="24" t="s">
        <v>289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0</v>
      </c>
      <c r="D27" s="94">
        <f>'DOE25'!G28</f>
        <v>0</v>
      </c>
      <c r="E27" s="94">
        <f>'DOE25'!H28</f>
        <v>0</v>
      </c>
      <c r="F27" s="94">
        <f>'DOE25'!I28</f>
        <v>0</v>
      </c>
      <c r="G27" s="24" t="s">
        <v>289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0</v>
      </c>
      <c r="D28" s="94">
        <f>'DOE25'!G29</f>
        <v>0</v>
      </c>
      <c r="E28" s="94">
        <f>'DOE25'!H29</f>
        <v>0</v>
      </c>
      <c r="F28" s="94">
        <f>'DOE25'!I29</f>
        <v>0</v>
      </c>
      <c r="G28" s="24" t="s">
        <v>289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0</v>
      </c>
      <c r="E29" s="94">
        <f>'DOE25'!H30</f>
        <v>103856.9</v>
      </c>
      <c r="F29" s="94">
        <f>'DOE25'!I30</f>
        <v>0</v>
      </c>
      <c r="G29" s="24" t="s">
        <v>289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1962284.51</v>
      </c>
      <c r="F31" s="41">
        <f>SUM(F21:F30)</f>
        <v>16802</v>
      </c>
      <c r="G31" s="41">
        <f>SUM(G21:G30)</f>
        <v>9647.2000000000007</v>
      </c>
      <c r="H31" s="123"/>
      <c r="I31" s="123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3"/>
      <c r="I32" s="123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3"/>
      <c r="I33" s="123"/>
    </row>
    <row r="34" spans="1:9" x14ac:dyDescent="0.2">
      <c r="A34" s="1" t="s">
        <v>876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289</v>
      </c>
      <c r="H34" s="123"/>
      <c r="I34" s="123"/>
    </row>
    <row r="35" spans="1:9" x14ac:dyDescent="0.2">
      <c r="A35" s="1" t="s">
        <v>877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289</v>
      </c>
      <c r="H35" s="123"/>
      <c r="I35" s="123"/>
    </row>
    <row r="36" spans="1:9" x14ac:dyDescent="0.2">
      <c r="A36" s="1" t="s">
        <v>883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3"/>
      <c r="I37" s="123"/>
    </row>
    <row r="38" spans="1:9" x14ac:dyDescent="0.2">
      <c r="A38" s="1" t="s">
        <v>884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888</v>
      </c>
      <c r="B39" s="6"/>
      <c r="C39" s="24" t="s">
        <v>289</v>
      </c>
      <c r="D39" s="94">
        <f>'DOE25'!G40</f>
        <v>384552.29000000004</v>
      </c>
      <c r="E39" s="24" t="s">
        <v>289</v>
      </c>
      <c r="F39" s="24" t="s">
        <v>289</v>
      </c>
      <c r="G39" s="24" t="s">
        <v>289</v>
      </c>
      <c r="H39" s="123"/>
      <c r="I39" s="123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4">
        <f>'DOE25'!I41</f>
        <v>1542435.5699999998</v>
      </c>
      <c r="G40" s="24" t="s">
        <v>289</v>
      </c>
      <c r="H40" s="123"/>
      <c r="I40" s="123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3"/>
      <c r="I41" s="123"/>
    </row>
    <row r="42" spans="1:9" x14ac:dyDescent="0.2">
      <c r="A42" s="1" t="s">
        <v>889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890</v>
      </c>
      <c r="B43" s="6">
        <v>755</v>
      </c>
      <c r="C43" s="94">
        <f>'DOE25'!F44</f>
        <v>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289</v>
      </c>
      <c r="H43" s="123"/>
      <c r="I43" s="123"/>
    </row>
    <row r="44" spans="1:9" x14ac:dyDescent="0.2">
      <c r="A44" s="1" t="s">
        <v>891</v>
      </c>
      <c r="B44" s="6">
        <v>753</v>
      </c>
      <c r="C44" s="94">
        <f>'DOE25'!F45</f>
        <v>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3"/>
      <c r="I45" s="123"/>
    </row>
    <row r="46" spans="1:9" x14ac:dyDescent="0.2">
      <c r="A46" s="1" t="s">
        <v>892</v>
      </c>
      <c r="B46" s="6">
        <v>760</v>
      </c>
      <c r="C46" s="94">
        <f>'DOE25'!F47</f>
        <v>0</v>
      </c>
      <c r="D46" s="94">
        <f>'DOE25'!G47</f>
        <v>0</v>
      </c>
      <c r="E46" s="94">
        <f>'DOE25'!H47</f>
        <v>1658782.58</v>
      </c>
      <c r="F46" s="94">
        <f>'DOE25'!I47</f>
        <v>0</v>
      </c>
      <c r="G46" s="94">
        <f>'DOE25'!J47</f>
        <v>10787658.809999999</v>
      </c>
      <c r="H46" s="123"/>
      <c r="I46" s="123"/>
    </row>
    <row r="47" spans="1:9" x14ac:dyDescent="0.2">
      <c r="A47" s="1" t="s">
        <v>908</v>
      </c>
      <c r="B47" s="6">
        <v>753</v>
      </c>
      <c r="C47" s="94">
        <f>'DOE25'!F48</f>
        <v>0</v>
      </c>
      <c r="D47" s="94">
        <f>'DOE25'!G48</f>
        <v>0</v>
      </c>
      <c r="E47" s="94">
        <f>'DOE25'!H48</f>
        <v>225617.69</v>
      </c>
      <c r="F47" s="94">
        <f>'DOE25'!I48</f>
        <v>0</v>
      </c>
      <c r="G47" s="94">
        <f>'DOE25'!J48</f>
        <v>803.72</v>
      </c>
      <c r="H47" s="123"/>
      <c r="I47" s="123"/>
    </row>
    <row r="48" spans="1:9" ht="12" thickBot="1" x14ac:dyDescent="0.25">
      <c r="A48" s="29" t="s">
        <v>893</v>
      </c>
      <c r="B48" s="70">
        <v>770</v>
      </c>
      <c r="C48" s="94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3"/>
      <c r="I48" s="123"/>
    </row>
    <row r="49" spans="1:9" ht="12.75" thickTop="1" thickBot="1" x14ac:dyDescent="0.25">
      <c r="A49" s="38" t="s">
        <v>894</v>
      </c>
      <c r="B49" s="48"/>
      <c r="C49" s="41">
        <f>SUM(C34:C48)</f>
        <v>0</v>
      </c>
      <c r="D49" s="41">
        <f>SUM(D34:D48)</f>
        <v>384552.29000000004</v>
      </c>
      <c r="E49" s="41">
        <f>SUM(E34:E48)</f>
        <v>1884400.27</v>
      </c>
      <c r="F49" s="41">
        <f>SUM(F34:F48)</f>
        <v>1542435.5699999998</v>
      </c>
      <c r="G49" s="41">
        <f>SUM(G34:G48)</f>
        <v>10788462.529999999</v>
      </c>
      <c r="H49" s="123"/>
      <c r="I49" s="123"/>
    </row>
    <row r="50" spans="1:9" ht="12" thickTop="1" x14ac:dyDescent="0.2">
      <c r="A50" s="38" t="s">
        <v>895</v>
      </c>
      <c r="B50" s="2"/>
      <c r="C50" s="41">
        <f>C49+C31</f>
        <v>0</v>
      </c>
      <c r="D50" s="41">
        <f>D49+D31</f>
        <v>384552.29000000004</v>
      </c>
      <c r="E50" s="41">
        <f>E49+E31</f>
        <v>3846684.7800000003</v>
      </c>
      <c r="F50" s="41">
        <f>F49+F31</f>
        <v>1559237.5699999998</v>
      </c>
      <c r="G50" s="41">
        <f>G49+G31</f>
        <v>10798109.729999999</v>
      </c>
      <c r="H50" s="123"/>
      <c r="I50" s="123"/>
    </row>
    <row r="51" spans="1:9" x14ac:dyDescent="0.2">
      <c r="H51" s="123"/>
      <c r="I51" s="123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6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7" t="s">
        <v>161</v>
      </c>
      <c r="B54" s="126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4">
        <f>'DOE25'!F59</f>
        <v>75087282.930000007</v>
      </c>
      <c r="D55" s="94">
        <f>'DOE25'!G59</f>
        <v>0</v>
      </c>
      <c r="E55" s="94">
        <f>'DOE25'!H59</f>
        <v>0</v>
      </c>
      <c r="F55" s="94">
        <f>'DOE25'!I59</f>
        <v>0</v>
      </c>
      <c r="G55" s="94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4">
        <f>'DOE25'!F78</f>
        <v>81949.91</v>
      </c>
      <c r="D56" s="24" t="s">
        <v>289</v>
      </c>
      <c r="E56" s="94">
        <f>'DOE25'!H78</f>
        <v>977151.23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4">
        <f>'DOE25'!F93</f>
        <v>88339.85</v>
      </c>
      <c r="D57" s="24" t="s">
        <v>289</v>
      </c>
      <c r="E57" s="94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8" t="s">
        <v>168</v>
      </c>
      <c r="B58" s="37" t="s">
        <v>169</v>
      </c>
      <c r="C58" s="94">
        <f>'DOE25'!F95</f>
        <v>0</v>
      </c>
      <c r="D58" s="94">
        <f>'DOE25'!G95</f>
        <v>369.05</v>
      </c>
      <c r="E58" s="94">
        <f>'DOE25'!H95</f>
        <v>0</v>
      </c>
      <c r="F58" s="94">
        <f>'DOE25'!I95</f>
        <v>0</v>
      </c>
      <c r="G58" s="94">
        <f>'DOE25'!J95</f>
        <v>75598.19</v>
      </c>
      <c r="H58"/>
      <c r="I58"/>
    </row>
    <row r="59" spans="1:9" x14ac:dyDescent="0.2">
      <c r="A59" s="1" t="s">
        <v>170</v>
      </c>
      <c r="B59" s="117" t="s">
        <v>171</v>
      </c>
      <c r="C59" s="24" t="s">
        <v>289</v>
      </c>
      <c r="D59" s="94">
        <f>'DOE25'!G96</f>
        <v>2264280.63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7" t="s">
        <v>173</v>
      </c>
      <c r="C60" s="94">
        <f>SUM('DOE25'!F97:F109)</f>
        <v>169220.08000000002</v>
      </c>
      <c r="D60" s="94">
        <f>SUM('DOE25'!G97:G109)</f>
        <v>0</v>
      </c>
      <c r="E60" s="94">
        <f>SUM('DOE25'!H97:H109)</f>
        <v>406742.61</v>
      </c>
      <c r="F60" s="94">
        <f>SUM('DOE25'!I97:I109)</f>
        <v>200000</v>
      </c>
      <c r="G60" s="94">
        <f>SUM('DOE25'!J97:J109)</f>
        <v>156855.54</v>
      </c>
      <c r="H60"/>
      <c r="I60"/>
    </row>
    <row r="61" spans="1:9" ht="12.75" thickTop="1" thickBot="1" x14ac:dyDescent="0.25">
      <c r="A61" s="29" t="s">
        <v>174</v>
      </c>
      <c r="B61" s="6"/>
      <c r="C61" s="129">
        <f>SUM(C56:C60)</f>
        <v>339509.84</v>
      </c>
      <c r="D61" s="129">
        <f>SUM(D56:D60)</f>
        <v>2264649.6799999997</v>
      </c>
      <c r="E61" s="129">
        <f>SUM(E56:E60)</f>
        <v>1383893.8399999999</v>
      </c>
      <c r="F61" s="129">
        <f>SUM(F56:F60)</f>
        <v>200000</v>
      </c>
      <c r="G61" s="129">
        <f>SUM(G56:G60)</f>
        <v>232453.73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75426792.770000011</v>
      </c>
      <c r="D62" s="22">
        <f>D55+D61</f>
        <v>2264649.6799999997</v>
      </c>
      <c r="E62" s="22">
        <f>E55+E61</f>
        <v>1383893.8399999999</v>
      </c>
      <c r="F62" s="22">
        <f>F55+F61</f>
        <v>200000</v>
      </c>
      <c r="G62" s="22">
        <f>G55+G61</f>
        <v>232453.73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4">
        <f>'DOE25'!F116</f>
        <v>35967808.280000001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4">
        <f>'DOE25'!F117</f>
        <v>19636751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4">
        <f>'DOE25'!F118</f>
        <v>31163.72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4">
        <f>'DOE25'!F119</f>
        <v>0</v>
      </c>
      <c r="D68" s="94">
        <f>'DOE25'!G119</f>
        <v>0</v>
      </c>
      <c r="E68" s="94">
        <f>'DOE25'!H119</f>
        <v>0</v>
      </c>
      <c r="F68" s="94">
        <f>'DOE25'!I119</f>
        <v>0</v>
      </c>
      <c r="G68" s="94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8">
        <f>SUM(C65:C68)</f>
        <v>55635723</v>
      </c>
      <c r="D69" s="138">
        <f>D68</f>
        <v>0</v>
      </c>
      <c r="E69" s="138">
        <f>E68</f>
        <v>0</v>
      </c>
      <c r="F69" s="138">
        <f>F68</f>
        <v>0</v>
      </c>
      <c r="G69" s="138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4">
        <f>'DOE25'!F122</f>
        <v>2738169.82</v>
      </c>
      <c r="D71" s="24" t="s">
        <v>289</v>
      </c>
      <c r="E71" s="24" t="s">
        <v>289</v>
      </c>
      <c r="F71" s="94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4">
        <f>'DOE25'!F123</f>
        <v>0</v>
      </c>
      <c r="D72" s="24" t="s">
        <v>289</v>
      </c>
      <c r="E72" s="24" t="s">
        <v>289</v>
      </c>
      <c r="F72" s="94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4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4">
        <f>'DOE25'!F125</f>
        <v>362061.59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4">
        <f>SUM('DOE25'!F126:F129)</f>
        <v>154207.85999999999</v>
      </c>
      <c r="D75" s="24" t="s">
        <v>289</v>
      </c>
      <c r="E75" s="94">
        <f>SUM('DOE25'!H126:H129)</f>
        <v>0</v>
      </c>
      <c r="F75" s="94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4">
        <f>SUM('DOE25'!F130:F134)</f>
        <v>0</v>
      </c>
      <c r="D76" s="94">
        <f>SUM('DOE25'!G130:G134)</f>
        <v>231262.4</v>
      </c>
      <c r="E76" s="94">
        <f>SUM('DOE25'!H130:H134)</f>
        <v>150294.49000000002</v>
      </c>
      <c r="F76" s="94">
        <f>SUM('DOE25'!I130:I134)</f>
        <v>0</v>
      </c>
      <c r="G76" s="94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29">
        <f>SUM(C71:C76)</f>
        <v>3254439.2699999996</v>
      </c>
      <c r="D77" s="129">
        <f>SUM(D71:D76)</f>
        <v>231262.4</v>
      </c>
      <c r="E77" s="129">
        <f>SUM(E71:E76)</f>
        <v>150294.49000000002</v>
      </c>
      <c r="F77" s="129">
        <f>SUM(F71:F76)</f>
        <v>0</v>
      </c>
      <c r="G77" s="129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4">
        <f>'DOE25'!F136</f>
        <v>0</v>
      </c>
      <c r="D78" s="94">
        <f>'DOE25'!G136</f>
        <v>0</v>
      </c>
      <c r="E78" s="94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4">
        <f>'DOE25'!F137</f>
        <v>0</v>
      </c>
      <c r="D79" s="24" t="s">
        <v>289</v>
      </c>
      <c r="E79" s="94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29">
        <f>SUM(C78:C79)+C77+C69</f>
        <v>58890162.269999996</v>
      </c>
      <c r="D80" s="129">
        <f>SUM(D78:D79)+D77+D69</f>
        <v>231262.4</v>
      </c>
      <c r="E80" s="129">
        <f>SUM(E78:E79)+E77+E69</f>
        <v>150294.49000000002</v>
      </c>
      <c r="F80" s="129">
        <f>SUM(F78:F79)+F77+F69</f>
        <v>0</v>
      </c>
      <c r="G80" s="129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6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7" t="s">
        <v>181</v>
      </c>
      <c r="B83" s="126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4">
        <f>'DOE25'!F146</f>
        <v>0</v>
      </c>
      <c r="D84" s="94">
        <f>'DOE25'!G146</f>
        <v>0</v>
      </c>
      <c r="E84" s="94">
        <f>'DOE25'!H146</f>
        <v>0</v>
      </c>
      <c r="F84" s="94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4">
        <f>SUM('DOE25'!F148:F151)</f>
        <v>0</v>
      </c>
      <c r="D86" s="24" t="s">
        <v>289</v>
      </c>
      <c r="E86" s="94">
        <f>SUM('DOE25'!H148:H151)</f>
        <v>378551.6</v>
      </c>
      <c r="F86" s="94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4">
        <f>SUM('DOE25'!F152:F160)</f>
        <v>1101954.96</v>
      </c>
      <c r="D87" s="94">
        <f>SUM('DOE25'!G152:G160)</f>
        <v>2574979.31</v>
      </c>
      <c r="E87" s="94">
        <f>SUM('DOE25'!H152:H160)</f>
        <v>10329431.969999999</v>
      </c>
      <c r="F87" s="94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4">
        <f>'DOE25'!F162+'DOE25'!F165+'DOE25'!F167</f>
        <v>0</v>
      </c>
      <c r="D88" s="94">
        <f>'DOE25'!G162+'DOE25'!G167</f>
        <v>0</v>
      </c>
      <c r="E88" s="94">
        <f>'DOE25'!H162+'DOE25'!H167</f>
        <v>0</v>
      </c>
      <c r="F88" s="94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4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0">
        <f>SUM(C84:C89)</f>
        <v>1101954.96</v>
      </c>
      <c r="D90" s="130">
        <f>SUM(D84:D89)</f>
        <v>2574979.31</v>
      </c>
      <c r="E90" s="130">
        <f>SUM(E84:E89)</f>
        <v>10707983.569999998</v>
      </c>
      <c r="F90" s="130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4">
        <f>SUM('DOE25'!F172:F174)</f>
        <v>0</v>
      </c>
      <c r="D92" s="24" t="s">
        <v>289</v>
      </c>
      <c r="E92" s="24" t="s">
        <v>289</v>
      </c>
      <c r="F92" s="94">
        <f>SUM('DOE25'!I172:I174)</f>
        <v>6950000</v>
      </c>
      <c r="G92" s="24" t="s">
        <v>289</v>
      </c>
    </row>
    <row r="93" spans="1:9" x14ac:dyDescent="0.2">
      <c r="A93" t="s">
        <v>756</v>
      </c>
      <c r="B93" s="32">
        <v>5140</v>
      </c>
      <c r="C93" s="94">
        <f>'DOE25'!F175</f>
        <v>0</v>
      </c>
      <c r="D93" s="24" t="s">
        <v>289</v>
      </c>
      <c r="E93" s="24" t="s">
        <v>289</v>
      </c>
      <c r="F93" s="94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4">
        <f>'DOE25'!G178</f>
        <v>0</v>
      </c>
      <c r="E95" s="94">
        <f>'DOE25'!H178</f>
        <v>0</v>
      </c>
      <c r="F95" s="94">
        <f>'DOE25'!I178</f>
        <v>0</v>
      </c>
      <c r="G95" s="94">
        <f>'DOE25'!J178</f>
        <v>100000</v>
      </c>
    </row>
    <row r="96" spans="1:9" x14ac:dyDescent="0.2">
      <c r="A96" t="s">
        <v>758</v>
      </c>
      <c r="B96" s="32" t="s">
        <v>188</v>
      </c>
      <c r="C96" s="94">
        <f>SUM('DOE25'!F179:F180)</f>
        <v>0</v>
      </c>
      <c r="D96" s="94">
        <f>SUM('DOE25'!G179:G180)</f>
        <v>0</v>
      </c>
      <c r="E96" s="94">
        <f>SUM('DOE25'!H179:H180)</f>
        <v>0</v>
      </c>
      <c r="F96" s="94">
        <f>SUM('DOE25'!I179:I180)</f>
        <v>0</v>
      </c>
      <c r="G96" s="94">
        <f>SUM('DOE25'!J179:J180)</f>
        <v>0</v>
      </c>
    </row>
    <row r="97" spans="1:7" x14ac:dyDescent="0.2">
      <c r="A97" t="s">
        <v>759</v>
      </c>
      <c r="B97" s="32" t="s">
        <v>189</v>
      </c>
      <c r="C97" s="94">
        <f>'DOE25'!F181</f>
        <v>0</v>
      </c>
      <c r="D97" s="94">
        <f>'DOE25'!G181</f>
        <v>0</v>
      </c>
      <c r="E97" s="94">
        <f>'DOE25'!H181</f>
        <v>0</v>
      </c>
      <c r="F97" s="24" t="s">
        <v>289</v>
      </c>
      <c r="G97" s="94">
        <f>'DOE25'!J181</f>
        <v>128112.06</v>
      </c>
    </row>
    <row r="98" spans="1:7" x14ac:dyDescent="0.2">
      <c r="A98" t="s">
        <v>760</v>
      </c>
      <c r="B98" s="32">
        <v>5251</v>
      </c>
      <c r="C98" s="94">
        <f>'DOE25'!F184</f>
        <v>0</v>
      </c>
      <c r="D98" s="94">
        <f>'DOE25'!G184</f>
        <v>0</v>
      </c>
      <c r="E98" s="94">
        <f>'DOE25'!H184</f>
        <v>0</v>
      </c>
      <c r="F98" s="94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4">
        <f>SUM('DOE25'!F185:F186)</f>
        <v>75000</v>
      </c>
      <c r="D99" s="94">
        <f>SUM('DOE25'!G185:G186)</f>
        <v>0</v>
      </c>
      <c r="E99" s="94">
        <f>SUM('DOE25'!H185:H186)</f>
        <v>0</v>
      </c>
      <c r="F99" s="94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4">
        <f>'DOE25'!F188</f>
        <v>0</v>
      </c>
      <c r="D100" s="94">
        <f>'DOE25'!G188</f>
        <v>0</v>
      </c>
      <c r="E100" s="94">
        <f>'DOE25'!H188</f>
        <v>0</v>
      </c>
      <c r="F100" s="94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4">
        <f>SUM('DOE25'!F189:F190)</f>
        <v>0</v>
      </c>
      <c r="D101" s="94">
        <f>SUM('DOE25'!G189:G190)</f>
        <v>0</v>
      </c>
      <c r="E101" s="94">
        <f>SUM('DOE25'!H189:H190)</f>
        <v>0</v>
      </c>
      <c r="F101" s="94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5">
        <f>SUM(C92:C101)</f>
        <v>75000</v>
      </c>
      <c r="D102" s="85">
        <f>SUM(D92:D101)</f>
        <v>0</v>
      </c>
      <c r="E102" s="85">
        <f>SUM(E92:E101)</f>
        <v>0</v>
      </c>
      <c r="F102" s="85">
        <f>SUM(F92:F101)</f>
        <v>6950000</v>
      </c>
      <c r="G102" s="85">
        <f>SUM(G92:G101)</f>
        <v>228112.06</v>
      </c>
    </row>
    <row r="103" spans="1:7" ht="12.75" thickTop="1" thickBot="1" x14ac:dyDescent="0.25">
      <c r="A103" s="33" t="s">
        <v>765</v>
      </c>
      <c r="C103" s="85">
        <f>C62+C80+C90+C102</f>
        <v>135493910.00000003</v>
      </c>
      <c r="D103" s="85">
        <f>D62+D80+D90+D102</f>
        <v>5070891.3899999997</v>
      </c>
      <c r="E103" s="85">
        <f>E62+E80+E90+E102</f>
        <v>12242171.899999999</v>
      </c>
      <c r="F103" s="85">
        <f>F62+F80+F90+F102</f>
        <v>7150000</v>
      </c>
      <c r="G103" s="85">
        <f>G62+G80+G102</f>
        <v>460565.79000000004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6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7" t="s">
        <v>195</v>
      </c>
      <c r="B107" s="126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4">
        <f>('DOE25'!L196)+('DOE25'!L214)+('DOE25'!L232)</f>
        <v>51557109.939999998</v>
      </c>
      <c r="D108" s="24" t="s">
        <v>289</v>
      </c>
      <c r="E108" s="94">
        <f>('DOE25'!L275)+('DOE25'!L294)+('DOE25'!L313)</f>
        <v>770816.96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4">
        <f>('DOE25'!L197)+('DOE25'!L215)+('DOE25'!L233)</f>
        <v>20278884.75</v>
      </c>
      <c r="D109" s="24" t="s">
        <v>289</v>
      </c>
      <c r="E109" s="94">
        <f>('DOE25'!L276)+('DOE25'!L295)+('DOE25'!L314)</f>
        <v>7201197.5099999988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4">
        <f>('DOE25'!L198)+('DOE25'!L216)+('DOE25'!L234)</f>
        <v>4419316.09</v>
      </c>
      <c r="D110" s="24" t="s">
        <v>289</v>
      </c>
      <c r="E110" s="94">
        <f>('DOE25'!L277)+('DOE25'!L296)+('DOE25'!L315)</f>
        <v>331900.41000000003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4">
        <f>('DOE25'!L199)+('DOE25'!L217)+('DOE25'!L235)</f>
        <v>945959.95</v>
      </c>
      <c r="D111" s="24" t="s">
        <v>289</v>
      </c>
      <c r="E111" s="94">
        <f>+('DOE25'!L278)+('DOE25'!L297)+('DOE25'!L316)</f>
        <v>1318802.0499999998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4">
        <f>'DOE25'!L249</f>
        <v>0</v>
      </c>
      <c r="D112" s="24" t="s">
        <v>289</v>
      </c>
      <c r="E112" s="94">
        <f>+'DOE25'!L331</f>
        <v>9934.630000000001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4">
        <f>SUM('DOE25'!L250:L252)</f>
        <v>188969.34000000003</v>
      </c>
      <c r="D113" s="24" t="s">
        <v>289</v>
      </c>
      <c r="E113" s="94">
        <f>+ SUM('DOE25'!L332:L334)</f>
        <v>172241.99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5">
        <f>SUM(C108:C113)</f>
        <v>77390240.070000008</v>
      </c>
      <c r="D114" s="85">
        <f>SUM(D108:D113)</f>
        <v>0</v>
      </c>
      <c r="E114" s="85">
        <f>SUM(E108:E113)</f>
        <v>9804893.5500000007</v>
      </c>
      <c r="F114" s="85">
        <f>SUM(F108:F113)</f>
        <v>0</v>
      </c>
      <c r="G114" s="85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4">
        <f>('DOE25'!L201)+('DOE25'!L219)+('DOE25'!L237)</f>
        <v>10710165.57</v>
      </c>
      <c r="D117" s="24" t="s">
        <v>289</v>
      </c>
      <c r="E117" s="94">
        <f>+('DOE25'!L280)+('DOE25'!L299)+('DOE25'!L318)</f>
        <v>279766.05999999994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4">
        <f>('DOE25'!L202)+('DOE25'!L220)+('DOE25'!L238)</f>
        <v>4539604</v>
      </c>
      <c r="D118" s="24" t="s">
        <v>289</v>
      </c>
      <c r="E118" s="94">
        <f>+('DOE25'!L281)+('DOE25'!L300)+('DOE25'!L319)</f>
        <v>1417988.4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4">
        <f>('DOE25'!L203)+('DOE25'!L221)+('DOE25'!L239)</f>
        <v>3254067.3600000003</v>
      </c>
      <c r="D119" s="24" t="s">
        <v>289</v>
      </c>
      <c r="E119" s="94">
        <f>+('DOE25'!L282)+('DOE25'!L301)+('DOE25'!L320)</f>
        <v>5878.8799999999992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4">
        <f>('DOE25'!L204)+('DOE25'!L222)+('DOE25'!L240)</f>
        <v>6269865.6699999999</v>
      </c>
      <c r="D120" s="24" t="s">
        <v>289</v>
      </c>
      <c r="E120" s="94">
        <f>+('DOE25'!L283)+('DOE25'!L302)+('DOE25'!L321)</f>
        <v>186269.09000000003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4">
        <f>('DOE25'!L205)+('DOE25'!L223)+('DOE25'!L241)</f>
        <v>759655.61</v>
      </c>
      <c r="D121" s="24" t="s">
        <v>289</v>
      </c>
      <c r="E121" s="94">
        <f>+('DOE25'!L284)+('DOE25'!L303)+('DOE25'!L322)</f>
        <v>182987.8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4">
        <f>('DOE25'!L206)+('DOE25'!L224)+('DOE25'!L242)</f>
        <v>13552575.09</v>
      </c>
      <c r="D122" s="24" t="s">
        <v>289</v>
      </c>
      <c r="E122" s="94">
        <f>+('DOE25'!L285)+('DOE25'!L304)+('DOE25'!L323)</f>
        <v>130028.62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4">
        <f>('DOE25'!L207)+('DOE25'!L225)+('DOE25'!L243+'DOE25'!L253)</f>
        <v>4787005.22</v>
      </c>
      <c r="D123" s="24" t="s">
        <v>289</v>
      </c>
      <c r="E123" s="94">
        <f>+('DOE25'!L286)+('DOE25'!L305)+('DOE25'!L324)</f>
        <v>39339.94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4">
        <f>('DOE25'!L208)+('DOE25'!L226)+('DOE25'!L244)</f>
        <v>517822.99</v>
      </c>
      <c r="D124" s="24" t="s">
        <v>289</v>
      </c>
      <c r="E124" s="94">
        <f>+('DOE25'!L287)+('DOE25'!L306)+('DOE25'!L325)</f>
        <v>11172.220000000001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4">
        <f>('DOE25'!L357)+('DOE25'!L358)+('DOE25'!L359)</f>
        <v>5051927.5600000005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5">
        <f>SUM(C117:C126)</f>
        <v>44390761.509999998</v>
      </c>
      <c r="D127" s="85">
        <f>SUM(D117:D126)</f>
        <v>5051927.5600000005</v>
      </c>
      <c r="E127" s="85">
        <f>SUM(E117:E126)</f>
        <v>2253431.0100000002</v>
      </c>
      <c r="F127" s="85">
        <f>SUM(F117:F126)</f>
        <v>0</v>
      </c>
      <c r="G127" s="85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4">
        <f>'DOE25'!L254</f>
        <v>503175.59</v>
      </c>
      <c r="D129" s="24" t="s">
        <v>289</v>
      </c>
      <c r="E129" s="128">
        <f>'DOE25'!L335</f>
        <v>0</v>
      </c>
      <c r="F129" s="128">
        <f>SUM('DOE25'!L373:'DOE25'!L379)</f>
        <v>7624186.9399999995</v>
      </c>
      <c r="G129" s="24" t="s">
        <v>289</v>
      </c>
    </row>
    <row r="130" spans="1:7" x14ac:dyDescent="0.2">
      <c r="A130" t="s">
        <v>229</v>
      </c>
      <c r="B130" s="32">
        <v>5110</v>
      </c>
      <c r="C130" s="94">
        <f>'DOE25'!L259</f>
        <v>9313522.0500000007</v>
      </c>
      <c r="D130" s="24" t="s">
        <v>289</v>
      </c>
      <c r="E130" s="128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4">
        <f>'DOE25'!L260</f>
        <v>3796210.78</v>
      </c>
      <c r="D131" s="24" t="s">
        <v>289</v>
      </c>
      <c r="E131" s="128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4">
        <f>'DOE25'!K360</f>
        <v>0</v>
      </c>
      <c r="E133" s="94">
        <f>'DOE25'!L343</f>
        <v>0</v>
      </c>
      <c r="F133" s="94">
        <f>'DOE25'!K380</f>
        <v>128112.06</v>
      </c>
      <c r="G133" s="94">
        <f>'DOE25'!K433</f>
        <v>75000</v>
      </c>
    </row>
    <row r="134" spans="1:7" x14ac:dyDescent="0.2">
      <c r="A134" t="s">
        <v>233</v>
      </c>
      <c r="B134" s="32" t="s">
        <v>234</v>
      </c>
      <c r="C134" s="94">
        <f>'DOE25'!L262</f>
        <v>0</v>
      </c>
      <c r="D134" s="24" t="s">
        <v>289</v>
      </c>
      <c r="E134" s="128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4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4">
        <f>'DOE25'!L264</f>
        <v>0</v>
      </c>
      <c r="D136" s="24" t="s">
        <v>289</v>
      </c>
      <c r="E136" s="128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4">
        <f>'DOE25'!L392</f>
        <v>11801.539999999999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4">
        <f>'DOE25'!L400</f>
        <v>371005.08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4">
        <f>'DOE25'!L406</f>
        <v>77759.170000000013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4">
        <f>('DOE25'!L265+'DOE25'!K346) - (C137+C138+C139)</f>
        <v>-360565.79000000004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8">
        <f>'DOE25'!L267</f>
        <v>0</v>
      </c>
      <c r="D141" s="24" t="s">
        <v>289</v>
      </c>
      <c r="E141" s="128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8">
        <f>'DOE25'!L268</f>
        <v>0</v>
      </c>
      <c r="D142" s="24" t="s">
        <v>289</v>
      </c>
      <c r="E142" s="128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0">
        <f>SUM(C129:C142)</f>
        <v>13712908.419999998</v>
      </c>
      <c r="D143" s="140">
        <f>SUM(D129:D142)</f>
        <v>0</v>
      </c>
      <c r="E143" s="140">
        <f>SUM(E129:E142)</f>
        <v>0</v>
      </c>
      <c r="F143" s="140">
        <f>SUM(F129:F142)</f>
        <v>7752298.9999999991</v>
      </c>
      <c r="G143" s="140">
        <f>SUM(G129:G142)</f>
        <v>75000</v>
      </c>
    </row>
    <row r="144" spans="1:7" ht="12.75" thickTop="1" thickBot="1" x14ac:dyDescent="0.25">
      <c r="A144" s="33" t="s">
        <v>244</v>
      </c>
      <c r="C144" s="85">
        <f>(C114+C127+C143)</f>
        <v>135493910</v>
      </c>
      <c r="D144" s="85">
        <f>(D114+D127+D143)</f>
        <v>5051927.5600000005</v>
      </c>
      <c r="E144" s="85">
        <f>(E114+E127+E143)</f>
        <v>12058324.560000001</v>
      </c>
      <c r="F144" s="85">
        <f>(F114+F127+F143)</f>
        <v>7752298.9999999991</v>
      </c>
      <c r="G144" s="85">
        <f>(G114+G127+G143)</f>
        <v>75000</v>
      </c>
    </row>
    <row r="145" spans="1:9" ht="12" thickTop="1" x14ac:dyDescent="0.2">
      <c r="A145" s="33"/>
    </row>
    <row r="147" spans="1:9" x14ac:dyDescent="0.2">
      <c r="A147" s="134" t="s">
        <v>245</v>
      </c>
      <c r="B147" s="131"/>
      <c r="C147" s="114"/>
      <c r="D147" s="115"/>
      <c r="E147" s="115"/>
      <c r="F147" s="115"/>
      <c r="G147" s="115"/>
    </row>
    <row r="148" spans="1:9" x14ac:dyDescent="0.2">
      <c r="A148" s="135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5"/>
      <c r="I148" s="115"/>
    </row>
    <row r="149" spans="1:9" x14ac:dyDescent="0.2">
      <c r="A149" s="134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5" t="s">
        <v>27</v>
      </c>
      <c r="B150" s="152">
        <f>'DOE25'!F489</f>
        <v>0</v>
      </c>
      <c r="C150" s="152">
        <f>'DOE25'!G489</f>
        <v>0</v>
      </c>
      <c r="D150" s="152">
        <f>'DOE25'!H489</f>
        <v>0</v>
      </c>
      <c r="E150" s="152">
        <f>'DOE25'!I489</f>
        <v>0</v>
      </c>
      <c r="F150" s="152">
        <f>'DOE25'!J489</f>
        <v>0</v>
      </c>
      <c r="G150" s="24" t="s">
        <v>289</v>
      </c>
    </row>
    <row r="151" spans="1:9" x14ac:dyDescent="0.2">
      <c r="A151" s="135" t="s">
        <v>28</v>
      </c>
      <c r="B151" s="151">
        <f>'DOE25'!F490</f>
        <v>0</v>
      </c>
      <c r="C151" s="151">
        <f>'DOE25'!G490</f>
        <v>0</v>
      </c>
      <c r="D151" s="151">
        <f>'DOE25'!H490</f>
        <v>0</v>
      </c>
      <c r="E151" s="151">
        <f>'DOE25'!I490</f>
        <v>0</v>
      </c>
      <c r="F151" s="151">
        <f>'DOE25'!J490</f>
        <v>0</v>
      </c>
      <c r="G151" s="24" t="s">
        <v>289</v>
      </c>
    </row>
    <row r="152" spans="1:9" x14ac:dyDescent="0.2">
      <c r="A152" s="135" t="s">
        <v>29</v>
      </c>
      <c r="B152" s="151">
        <f>'DOE25'!F491</f>
        <v>0</v>
      </c>
      <c r="C152" s="151">
        <f>'DOE25'!G491</f>
        <v>0</v>
      </c>
      <c r="D152" s="151">
        <f>'DOE25'!H491</f>
        <v>0</v>
      </c>
      <c r="E152" s="151">
        <f>'DOE25'!I491</f>
        <v>0</v>
      </c>
      <c r="F152" s="151">
        <f>'DOE25'!J491</f>
        <v>0</v>
      </c>
      <c r="G152" s="24" t="s">
        <v>289</v>
      </c>
    </row>
    <row r="153" spans="1:9" x14ac:dyDescent="0.2">
      <c r="A153" s="135" t="s">
        <v>30</v>
      </c>
      <c r="B153" s="136">
        <f>'DOE25'!F492</f>
        <v>0</v>
      </c>
      <c r="C153" s="136">
        <f>'DOE25'!G492</f>
        <v>0</v>
      </c>
      <c r="D153" s="136">
        <f>'DOE25'!H492</f>
        <v>0</v>
      </c>
      <c r="E153" s="136">
        <f>'DOE25'!I492</f>
        <v>0</v>
      </c>
      <c r="F153" s="136">
        <f>'DOE25'!J492</f>
        <v>0</v>
      </c>
      <c r="G153" s="24" t="s">
        <v>289</v>
      </c>
    </row>
    <row r="154" spans="1:9" x14ac:dyDescent="0.2">
      <c r="A154" s="135" t="s">
        <v>31</v>
      </c>
      <c r="B154" s="136" t="str">
        <f>'DOE25'!F493</f>
        <v>*SEE SUPPLEMENTAL SCHEDULE*</v>
      </c>
      <c r="C154" s="136">
        <f>'DOE25'!G493</f>
        <v>0</v>
      </c>
      <c r="D154" s="136">
        <f>'DOE25'!H493</f>
        <v>0</v>
      </c>
      <c r="E154" s="136">
        <f>'DOE25'!I493</f>
        <v>0</v>
      </c>
      <c r="F154" s="136">
        <f>'DOE25'!J493</f>
        <v>0</v>
      </c>
      <c r="G154" s="24" t="s">
        <v>289</v>
      </c>
    </row>
    <row r="155" spans="1:9" x14ac:dyDescent="0.2">
      <c r="A155" s="22" t="s">
        <v>32</v>
      </c>
      <c r="B155" s="136">
        <f>'DOE25'!F494</f>
        <v>67989994</v>
      </c>
      <c r="C155" s="136">
        <f>'DOE25'!G494</f>
        <v>0</v>
      </c>
      <c r="D155" s="136">
        <f>'DOE25'!H494</f>
        <v>0</v>
      </c>
      <c r="E155" s="136">
        <f>'DOE25'!I494</f>
        <v>0</v>
      </c>
      <c r="F155" s="136">
        <f>'DOE25'!J494</f>
        <v>0</v>
      </c>
      <c r="G155" s="137">
        <f>SUM(B155:F155)</f>
        <v>67989994</v>
      </c>
    </row>
    <row r="156" spans="1:9" x14ac:dyDescent="0.2">
      <c r="A156" s="22" t="s">
        <v>33</v>
      </c>
      <c r="B156" s="136">
        <f>'DOE25'!F495</f>
        <v>27790000</v>
      </c>
      <c r="C156" s="136">
        <f>'DOE25'!G495</f>
        <v>0</v>
      </c>
      <c r="D156" s="136">
        <f>'DOE25'!H495</f>
        <v>0</v>
      </c>
      <c r="E156" s="136">
        <f>'DOE25'!I495</f>
        <v>0</v>
      </c>
      <c r="F156" s="136">
        <f>'DOE25'!J495</f>
        <v>0</v>
      </c>
      <c r="G156" s="137">
        <f t="shared" ref="G156:G163" si="0">SUM(B156:F156)</f>
        <v>27790000</v>
      </c>
    </row>
    <row r="157" spans="1:9" x14ac:dyDescent="0.2">
      <c r="A157" s="22" t="s">
        <v>34</v>
      </c>
      <c r="B157" s="136">
        <f>'DOE25'!F496</f>
        <v>9313522</v>
      </c>
      <c r="C157" s="136">
        <f>'DOE25'!G496</f>
        <v>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si="0"/>
        <v>9313522</v>
      </c>
    </row>
    <row r="158" spans="1:9" x14ac:dyDescent="0.2">
      <c r="A158" s="22" t="s">
        <v>35</v>
      </c>
      <c r="B158" s="136">
        <f>'DOE25'!F497</f>
        <v>86466472</v>
      </c>
      <c r="C158" s="136">
        <f>'DOE25'!G497</f>
        <v>0</v>
      </c>
      <c r="D158" s="136">
        <f>'DOE25'!H497</f>
        <v>0</v>
      </c>
      <c r="E158" s="136">
        <f>'DOE25'!I497</f>
        <v>0</v>
      </c>
      <c r="F158" s="136">
        <f>'DOE25'!J497</f>
        <v>0</v>
      </c>
      <c r="G158" s="137">
        <f t="shared" si="0"/>
        <v>86466472</v>
      </c>
    </row>
    <row r="159" spans="1:9" x14ac:dyDescent="0.2">
      <c r="A159" s="22" t="s">
        <v>36</v>
      </c>
      <c r="B159" s="136">
        <f>'DOE25'!F498</f>
        <v>20572063</v>
      </c>
      <c r="C159" s="136">
        <f>'DOE25'!G498</f>
        <v>0</v>
      </c>
      <c r="D159" s="136">
        <f>'DOE25'!H498</f>
        <v>0</v>
      </c>
      <c r="E159" s="136">
        <f>'DOE25'!I498</f>
        <v>0</v>
      </c>
      <c r="F159" s="136">
        <f>'DOE25'!J498</f>
        <v>0</v>
      </c>
      <c r="G159" s="137">
        <f t="shared" si="0"/>
        <v>20572063</v>
      </c>
    </row>
    <row r="160" spans="1:9" x14ac:dyDescent="0.2">
      <c r="A160" s="22" t="s">
        <v>37</v>
      </c>
      <c r="B160" s="136">
        <f>'DOE25'!F499</f>
        <v>107038535</v>
      </c>
      <c r="C160" s="136">
        <f>'DOE25'!G499</f>
        <v>0</v>
      </c>
      <c r="D160" s="136">
        <f>'DOE25'!H499</f>
        <v>0</v>
      </c>
      <c r="E160" s="136">
        <f>'DOE25'!I499</f>
        <v>0</v>
      </c>
      <c r="F160" s="136">
        <f>'DOE25'!J499</f>
        <v>0</v>
      </c>
      <c r="G160" s="137">
        <f t="shared" si="0"/>
        <v>107038535</v>
      </c>
    </row>
    <row r="161" spans="1:7" x14ac:dyDescent="0.2">
      <c r="A161" s="22" t="s">
        <v>38</v>
      </c>
      <c r="B161" s="136">
        <f>'DOE25'!F500</f>
        <v>9460735</v>
      </c>
      <c r="C161" s="136">
        <f>'DOE25'!G500</f>
        <v>0</v>
      </c>
      <c r="D161" s="136">
        <f>'DOE25'!H500</f>
        <v>0</v>
      </c>
      <c r="E161" s="136">
        <f>'DOE25'!I500</f>
        <v>0</v>
      </c>
      <c r="F161" s="136">
        <f>'DOE25'!J500</f>
        <v>0</v>
      </c>
      <c r="G161" s="137">
        <f t="shared" si="0"/>
        <v>9460735</v>
      </c>
    </row>
    <row r="162" spans="1:7" x14ac:dyDescent="0.2">
      <c r="A162" s="22" t="s">
        <v>39</v>
      </c>
      <c r="B162" s="136">
        <f>'DOE25'!F501</f>
        <v>3618699</v>
      </c>
      <c r="C162" s="136">
        <f>'DOE25'!G501</f>
        <v>0</v>
      </c>
      <c r="D162" s="136">
        <f>'DOE25'!H501</f>
        <v>0</v>
      </c>
      <c r="E162" s="136">
        <f>'DOE25'!I501</f>
        <v>0</v>
      </c>
      <c r="F162" s="136">
        <f>'DOE25'!J501</f>
        <v>0</v>
      </c>
      <c r="G162" s="137">
        <f t="shared" si="0"/>
        <v>3618699</v>
      </c>
    </row>
    <row r="163" spans="1:7" x14ac:dyDescent="0.2">
      <c r="A163" s="22" t="s">
        <v>246</v>
      </c>
      <c r="B163" s="136">
        <f>'DOE25'!F502</f>
        <v>13079434</v>
      </c>
      <c r="C163" s="136">
        <f>'DOE25'!G502</f>
        <v>0</v>
      </c>
      <c r="D163" s="136">
        <f>'DOE25'!H502</f>
        <v>0</v>
      </c>
      <c r="E163" s="136">
        <f>'DOE25'!I502</f>
        <v>0</v>
      </c>
      <c r="F163" s="136">
        <f>'DOE25'!J502</f>
        <v>0</v>
      </c>
      <c r="G163" s="137">
        <f t="shared" si="0"/>
        <v>13079434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7" t="s">
        <v>740</v>
      </c>
      <c r="B1" s="277"/>
      <c r="C1" s="277"/>
      <c r="D1" s="277"/>
    </row>
    <row r="2" spans="1:4" x14ac:dyDescent="0.2">
      <c r="A2" s="186" t="s">
        <v>717</v>
      </c>
      <c r="B2" s="185" t="str">
        <f>'DOE25'!A2</f>
        <v>Nashua School District</v>
      </c>
    </row>
    <row r="3" spans="1:4" x14ac:dyDescent="0.2">
      <c r="B3" s="187" t="s">
        <v>862</v>
      </c>
    </row>
    <row r="4" spans="1:4" x14ac:dyDescent="0.2">
      <c r="B4" t="s">
        <v>61</v>
      </c>
      <c r="C4" s="178">
        <f>IF('DOE25'!F664+'DOE25'!F669=0,0,ROUND('DOE25'!F671,0))</f>
        <v>11190</v>
      </c>
    </row>
    <row r="5" spans="1:4" x14ac:dyDescent="0.2">
      <c r="B5" t="s">
        <v>704</v>
      </c>
      <c r="C5" s="178">
        <f>IF('DOE25'!G664+'DOE25'!G669=0,0,ROUND('DOE25'!G671,0))</f>
        <v>11009</v>
      </c>
    </row>
    <row r="6" spans="1:4" x14ac:dyDescent="0.2">
      <c r="B6" t="s">
        <v>62</v>
      </c>
      <c r="C6" s="178">
        <f>IF('DOE25'!H664+'DOE25'!H669=0,0,ROUND('DOE25'!H671,0))</f>
        <v>10698</v>
      </c>
    </row>
    <row r="7" spans="1:4" x14ac:dyDescent="0.2">
      <c r="B7" t="s">
        <v>705</v>
      </c>
      <c r="C7" s="178">
        <f>IF('DOE25'!I664+'DOE25'!I669=0,0,ROUND('DOE25'!I671,0))</f>
        <v>10991</v>
      </c>
    </row>
    <row r="9" spans="1:4" x14ac:dyDescent="0.2">
      <c r="A9" s="186" t="s">
        <v>94</v>
      </c>
      <c r="B9" s="187" t="s">
        <v>861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ROUND('DOE25'!L196+'DOE25'!L214+'DOE25'!L232+'DOE25'!L275+'DOE25'!L294+'DOE25'!L313,0)</f>
        <v>52327927</v>
      </c>
      <c r="D10" s="181">
        <f>ROUND((C10/$C$28)*100,1)</f>
        <v>37.299999999999997</v>
      </c>
    </row>
    <row r="11" spans="1:4" x14ac:dyDescent="0.2">
      <c r="A11">
        <v>1200</v>
      </c>
      <c r="B11" t="s">
        <v>707</v>
      </c>
      <c r="C11" s="178">
        <f>ROUND('DOE25'!L197+'DOE25'!L215+'DOE25'!L233+'DOE25'!L276+'DOE25'!L295+'DOE25'!L314,0)</f>
        <v>27480082</v>
      </c>
      <c r="D11" s="181">
        <f>ROUND((C11/$C$28)*100,1)</f>
        <v>19.600000000000001</v>
      </c>
    </row>
    <row r="12" spans="1:4" x14ac:dyDescent="0.2">
      <c r="A12">
        <v>1300</v>
      </c>
      <c r="B12" t="s">
        <v>708</v>
      </c>
      <c r="C12" s="178">
        <f>ROUND('DOE25'!L198+'DOE25'!L216+'DOE25'!L234+'DOE25'!L277+'DOE25'!L296+'DOE25'!L315,0)</f>
        <v>4751217</v>
      </c>
      <c r="D12" s="181">
        <f>ROUND((C12/$C$28)*100,1)</f>
        <v>3.4</v>
      </c>
    </row>
    <row r="13" spans="1:4" x14ac:dyDescent="0.2">
      <c r="A13">
        <v>1400</v>
      </c>
      <c r="B13" t="s">
        <v>709</v>
      </c>
      <c r="C13" s="178">
        <f>ROUND('DOE25'!L199+'DOE25'!L217+'DOE25'!L235+'DOE25'!L278+'DOE25'!L297+'DOE25'!L316,0)</f>
        <v>2264762</v>
      </c>
      <c r="D13" s="181">
        <f>ROUND((C13/$C$28)*100,1)</f>
        <v>1.6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ROUND('DOE25'!L201+'DOE25'!L219+'DOE25'!L237+'DOE25'!L280+'DOE25'!L299+'DOE25'!L318,0)</f>
        <v>10989932</v>
      </c>
      <c r="D15" s="181">
        <f t="shared" ref="D15:D27" si="0">ROUND((C15/$C$28)*100,1)</f>
        <v>7.8</v>
      </c>
    </row>
    <row r="16" spans="1:4" x14ac:dyDescent="0.2">
      <c r="A16">
        <v>2200</v>
      </c>
      <c r="B16" t="s">
        <v>711</v>
      </c>
      <c r="C16" s="178">
        <f>ROUND('DOE25'!L202+'DOE25'!L220+'DOE25'!L238+'DOE25'!L281+'DOE25'!L300+'DOE25'!L319,0)</f>
        <v>5957592</v>
      </c>
      <c r="D16" s="181">
        <f t="shared" si="0"/>
        <v>4.2</v>
      </c>
    </row>
    <row r="17" spans="1:4" x14ac:dyDescent="0.2">
      <c r="A17" s="182" t="s">
        <v>727</v>
      </c>
      <c r="B17" t="s">
        <v>742</v>
      </c>
      <c r="C17" s="178">
        <f>ROUND('DOE25'!L203+'DOE25'!L208+'DOE25'!L221+'DOE25'!L226+'DOE25'!L239+'DOE25'!L244+'DOE25'!L282+'DOE25'!L287+'DOE25'!L301+'DOE25'!L306+'DOE25'!L320+'DOE25'!L325,0)</f>
        <v>3788941</v>
      </c>
      <c r="D17" s="181">
        <f t="shared" si="0"/>
        <v>2.7</v>
      </c>
    </row>
    <row r="18" spans="1:4" x14ac:dyDescent="0.2">
      <c r="A18">
        <v>2400</v>
      </c>
      <c r="B18" t="s">
        <v>715</v>
      </c>
      <c r="C18" s="178">
        <f>ROUND('DOE25'!L204+'DOE25'!L222+'DOE25'!L240+'DOE25'!L283+'DOE25'!L302+'DOE25'!L321,0)</f>
        <v>6456135</v>
      </c>
      <c r="D18" s="181">
        <f t="shared" si="0"/>
        <v>4.5999999999999996</v>
      </c>
    </row>
    <row r="19" spans="1:4" x14ac:dyDescent="0.2">
      <c r="A19">
        <v>2500</v>
      </c>
      <c r="B19" t="s">
        <v>712</v>
      </c>
      <c r="C19" s="178">
        <f>ROUND('DOE25'!L205+'DOE25'!L223+'DOE25'!L241+'DOE25'!L284+'DOE25'!L303+'DOE25'!L322,0)</f>
        <v>942643</v>
      </c>
      <c r="D19" s="181">
        <f t="shared" si="0"/>
        <v>0.7</v>
      </c>
    </row>
    <row r="20" spans="1:4" x14ac:dyDescent="0.2">
      <c r="A20">
        <v>2600</v>
      </c>
      <c r="B20" t="s">
        <v>713</v>
      </c>
      <c r="C20" s="178">
        <f>ROUND('DOE25'!L206+'DOE25'!L224+'DOE25'!L242+'DOE25'!L285+'DOE25'!L304+'DOE25'!L323,0)</f>
        <v>13682604</v>
      </c>
      <c r="D20" s="181">
        <f t="shared" si="0"/>
        <v>9.6999999999999993</v>
      </c>
    </row>
    <row r="21" spans="1:4" x14ac:dyDescent="0.2">
      <c r="A21">
        <v>2700</v>
      </c>
      <c r="B21" t="s">
        <v>714</v>
      </c>
      <c r="C21" s="178">
        <f>ROUND('DOE25'!L207+'DOE25'!L225+'DOE25'!L243+'DOE25'!L286+'DOE25'!L305+'DOE25'!L324,0)</f>
        <v>4826345</v>
      </c>
      <c r="D21" s="181">
        <f t="shared" si="0"/>
        <v>3.4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ROUND('DOE25'!L249+'DOE25'!L331,0)</f>
        <v>9935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ROUND('DOE25'!L250+'DOE25'!L251+'DOE25'!L252+'DOE25'!L253+'DOE25'!L332+'DOE25'!L333+'DOE25'!L334,0)</f>
        <v>361211</v>
      </c>
      <c r="D24" s="181">
        <f t="shared" si="0"/>
        <v>0.3</v>
      </c>
    </row>
    <row r="25" spans="1:4" x14ac:dyDescent="0.2">
      <c r="A25">
        <v>5120</v>
      </c>
      <c r="B25" t="s">
        <v>720</v>
      </c>
      <c r="C25" s="178">
        <f>ROUND('DOE25'!L260+'DOE25'!L341,0)</f>
        <v>3796211</v>
      </c>
      <c r="D25" s="181">
        <f t="shared" si="0"/>
        <v>2.7</v>
      </c>
    </row>
    <row r="26" spans="1:4" x14ac:dyDescent="0.2">
      <c r="A26" s="182" t="s">
        <v>721</v>
      </c>
      <c r="B26" t="s">
        <v>722</v>
      </c>
      <c r="C26" s="178">
        <f>'DOE25'!L267+'DOE25'!L268+'DOE25'!L348+'DOE25'!L349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ROUND('DOE25'!L361-'DOE25'!L360,0)-SUM('DOE25'!G96:G109)</f>
        <v>2787647.37</v>
      </c>
      <c r="D27" s="181">
        <f t="shared" si="0"/>
        <v>2</v>
      </c>
    </row>
    <row r="28" spans="1:4" x14ac:dyDescent="0.2">
      <c r="B28" s="186" t="s">
        <v>723</v>
      </c>
      <c r="C28" s="179">
        <f>SUM(C10:C27)</f>
        <v>140423184.37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ROUND('DOE25'!L254+'DOE25'!L335+'DOE25'!L373+'DOE25'!L374+'DOE25'!L375+'DOE25'!L376+'DOE25'!L377+'DOE25'!L378+'DOE25'!L379,0)</f>
        <v>8127363</v>
      </c>
    </row>
    <row r="30" spans="1:4" x14ac:dyDescent="0.2">
      <c r="B30" s="186" t="s">
        <v>729</v>
      </c>
      <c r="C30" s="179">
        <f>SUM(C28:C29)</f>
        <v>148550547.37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ROUND('DOE25'!L259+'DOE25'!L340,0)</f>
        <v>9313522</v>
      </c>
    </row>
    <row r="34" spans="1:4" x14ac:dyDescent="0.2">
      <c r="A34" s="186" t="s">
        <v>94</v>
      </c>
      <c r="B34" s="187" t="s">
        <v>860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ROUND('DOE25'!F59+'DOE25'!G59+'DOE25'!H59+'DOE25'!I59+'DOE25'!J59,0)</f>
        <v>75087283</v>
      </c>
      <c r="D35" s="181">
        <f t="shared" ref="D35:D40" si="1">ROUND((C35/$C$41)*100,1)</f>
        <v>49.8</v>
      </c>
    </row>
    <row r="36" spans="1:4" x14ac:dyDescent="0.2">
      <c r="B36" s="184" t="s">
        <v>743</v>
      </c>
      <c r="C36" s="178">
        <f>SUM('DOE25'!F111:J111)-SUM('DOE25'!G96:G109)+('DOE25'!F173+'DOE25'!F174+'DOE25'!I173+'DOE25'!I174)-C35</f>
        <v>2156226.3900000006</v>
      </c>
      <c r="D36" s="181">
        <f t="shared" si="1"/>
        <v>1.4</v>
      </c>
    </row>
    <row r="37" spans="1:4" x14ac:dyDescent="0.2">
      <c r="A37" s="182" t="s">
        <v>853</v>
      </c>
      <c r="B37" s="184" t="s">
        <v>732</v>
      </c>
      <c r="C37" s="178">
        <f>ROUND('DOE25'!F116+'DOE25'!F117+'DOE25'!F118,0)</f>
        <v>55635723</v>
      </c>
      <c r="D37" s="181">
        <f t="shared" si="1"/>
        <v>36.9</v>
      </c>
    </row>
    <row r="38" spans="1:4" x14ac:dyDescent="0.2">
      <c r="A38" s="182" t="s">
        <v>738</v>
      </c>
      <c r="B38" s="184" t="s">
        <v>733</v>
      </c>
      <c r="C38" s="178">
        <f>ROUND(SUM('DOE25'!F139:J139)-SUM('DOE25'!F116:F118),0)</f>
        <v>3635996</v>
      </c>
      <c r="D38" s="181">
        <f t="shared" si="1"/>
        <v>2.4</v>
      </c>
    </row>
    <row r="39" spans="1:4" x14ac:dyDescent="0.2">
      <c r="A39">
        <v>4000</v>
      </c>
      <c r="B39" s="184" t="s">
        <v>734</v>
      </c>
      <c r="C39" s="178">
        <f>ROUND('DOE25'!F168+'DOE25'!G168+'DOE25'!H168+'DOE25'!I168,0)</f>
        <v>14384918</v>
      </c>
      <c r="D39" s="181">
        <f t="shared" si="1"/>
        <v>9.5</v>
      </c>
    </row>
    <row r="40" spans="1:4" x14ac:dyDescent="0.2">
      <c r="A40" s="182" t="s">
        <v>739</v>
      </c>
      <c r="B40" s="184" t="s">
        <v>735</v>
      </c>
      <c r="C40" s="178">
        <f>ROUND(SUM('DOE25'!F188:F190)+SUM('DOE25'!G188:G190)+SUM('DOE25'!H188:H190)+SUM('DOE25'!I188:I190),0)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150900146.38999999</v>
      </c>
      <c r="D41" s="183">
        <f>SUM(D35:D40)</f>
        <v>100</v>
      </c>
    </row>
    <row r="42" spans="1:4" x14ac:dyDescent="0.2">
      <c r="A42" s="182" t="s">
        <v>741</v>
      </c>
      <c r="B42" s="184" t="s">
        <v>737</v>
      </c>
      <c r="C42" s="178">
        <f>ROUND('DOE25'!F172+'DOE25'!I172+'DOE25'!F175+'DOE25'!I175,0)</f>
        <v>6950000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sqref="A1:I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Nashua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>
        <v>20</v>
      </c>
      <c r="B4" s="219">
        <v>495</v>
      </c>
      <c r="C4" s="279" t="s">
        <v>912</v>
      </c>
      <c r="D4" s="279"/>
      <c r="E4" s="279"/>
      <c r="F4" s="279"/>
      <c r="G4" s="279"/>
      <c r="H4" s="279"/>
      <c r="I4" s="279"/>
      <c r="J4" s="279"/>
      <c r="K4" s="279"/>
      <c r="L4" s="279"/>
      <c r="M4" s="280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8"/>
      <c r="B5" s="21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80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8"/>
      <c r="B6" s="219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80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8"/>
      <c r="B7" s="219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80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8"/>
      <c r="B8" s="219"/>
      <c r="C8" s="279"/>
      <c r="D8" s="279"/>
      <c r="E8" s="279"/>
      <c r="F8" s="279"/>
      <c r="G8" s="279"/>
      <c r="H8" s="279"/>
      <c r="I8" s="279"/>
      <c r="J8" s="279"/>
      <c r="K8" s="279"/>
      <c r="L8" s="279"/>
      <c r="M8" s="280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8"/>
      <c r="B9" s="219"/>
      <c r="C9" s="279"/>
      <c r="D9" s="279"/>
      <c r="E9" s="279"/>
      <c r="F9" s="279"/>
      <c r="G9" s="279"/>
      <c r="H9" s="279"/>
      <c r="I9" s="279"/>
      <c r="J9" s="279"/>
      <c r="K9" s="279"/>
      <c r="L9" s="279"/>
      <c r="M9" s="280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8"/>
      <c r="B10" s="219"/>
      <c r="C10" s="279"/>
      <c r="D10" s="279"/>
      <c r="E10" s="279"/>
      <c r="F10" s="279"/>
      <c r="G10" s="279"/>
      <c r="H10" s="279"/>
      <c r="I10" s="279"/>
      <c r="J10" s="279"/>
      <c r="K10" s="279"/>
      <c r="L10" s="279"/>
      <c r="M10" s="280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8"/>
      <c r="B11" s="219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80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8"/>
      <c r="B12" s="219"/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M12" s="280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8"/>
      <c r="B13" s="219"/>
      <c r="C13" s="279"/>
      <c r="D13" s="279"/>
      <c r="E13" s="279"/>
      <c r="F13" s="279"/>
      <c r="G13" s="279"/>
      <c r="H13" s="279"/>
      <c r="I13" s="279"/>
      <c r="J13" s="279"/>
      <c r="K13" s="279"/>
      <c r="L13" s="279"/>
      <c r="M13" s="280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8"/>
      <c r="B14" s="219"/>
      <c r="C14" s="279"/>
      <c r="D14" s="279"/>
      <c r="E14" s="279"/>
      <c r="F14" s="279"/>
      <c r="G14" s="279"/>
      <c r="H14" s="279"/>
      <c r="I14" s="279"/>
      <c r="J14" s="279"/>
      <c r="K14" s="279"/>
      <c r="L14" s="279"/>
      <c r="M14" s="280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8"/>
      <c r="B15" s="219"/>
      <c r="C15" s="279"/>
      <c r="D15" s="279"/>
      <c r="E15" s="279"/>
      <c r="F15" s="279"/>
      <c r="G15" s="279"/>
      <c r="H15" s="279"/>
      <c r="I15" s="279"/>
      <c r="J15" s="279"/>
      <c r="K15" s="279"/>
      <c r="L15" s="279"/>
      <c r="M15" s="280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8"/>
      <c r="B16" s="219"/>
      <c r="C16" s="279"/>
      <c r="D16" s="279"/>
      <c r="E16" s="279"/>
      <c r="F16" s="279"/>
      <c r="G16" s="279"/>
      <c r="H16" s="279"/>
      <c r="I16" s="279"/>
      <c r="J16" s="279"/>
      <c r="K16" s="279"/>
      <c r="L16" s="279"/>
      <c r="M16" s="280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8"/>
      <c r="B17" s="219"/>
      <c r="C17" s="279"/>
      <c r="D17" s="279"/>
      <c r="E17" s="279"/>
      <c r="F17" s="279"/>
      <c r="G17" s="279"/>
      <c r="H17" s="279"/>
      <c r="I17" s="279"/>
      <c r="J17" s="279"/>
      <c r="K17" s="279"/>
      <c r="L17" s="279"/>
      <c r="M17" s="280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8"/>
      <c r="B18" s="219"/>
      <c r="C18" s="279"/>
      <c r="D18" s="279"/>
      <c r="E18" s="279"/>
      <c r="F18" s="279"/>
      <c r="G18" s="279"/>
      <c r="H18" s="279"/>
      <c r="I18" s="279"/>
      <c r="J18" s="279"/>
      <c r="K18" s="279"/>
      <c r="L18" s="279"/>
      <c r="M18" s="280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8"/>
      <c r="B19" s="219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80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8"/>
      <c r="B20" s="219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80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8"/>
      <c r="B21" s="219"/>
      <c r="C21" s="279"/>
      <c r="D21" s="279"/>
      <c r="E21" s="279"/>
      <c r="F21" s="279"/>
      <c r="G21" s="279"/>
      <c r="H21" s="279"/>
      <c r="I21" s="279"/>
      <c r="J21" s="279"/>
      <c r="K21" s="279"/>
      <c r="L21" s="279"/>
      <c r="M21" s="280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8"/>
      <c r="B22" s="219"/>
      <c r="C22" s="279"/>
      <c r="D22" s="279"/>
      <c r="E22" s="279"/>
      <c r="F22" s="279"/>
      <c r="G22" s="279"/>
      <c r="H22" s="279"/>
      <c r="I22" s="279"/>
      <c r="J22" s="279"/>
      <c r="K22" s="279"/>
      <c r="L22" s="279"/>
      <c r="M22" s="280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8"/>
      <c r="B23" s="219"/>
      <c r="C23" s="279"/>
      <c r="D23" s="279"/>
      <c r="E23" s="279"/>
      <c r="F23" s="279"/>
      <c r="G23" s="279"/>
      <c r="H23" s="279"/>
      <c r="I23" s="279"/>
      <c r="J23" s="279"/>
      <c r="K23" s="279"/>
      <c r="L23" s="279"/>
      <c r="M23" s="280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8"/>
      <c r="B24" s="219"/>
      <c r="C24" s="279"/>
      <c r="D24" s="279"/>
      <c r="E24" s="279"/>
      <c r="F24" s="279"/>
      <c r="G24" s="279"/>
      <c r="H24" s="279"/>
      <c r="I24" s="279"/>
      <c r="J24" s="279"/>
      <c r="K24" s="279"/>
      <c r="L24" s="279"/>
      <c r="M24" s="280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8"/>
      <c r="B25" s="219"/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80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8"/>
      <c r="B26" s="219"/>
      <c r="C26" s="279"/>
      <c r="D26" s="279"/>
      <c r="E26" s="279"/>
      <c r="F26" s="279"/>
      <c r="G26" s="279"/>
      <c r="H26" s="279"/>
      <c r="I26" s="279"/>
      <c r="J26" s="279"/>
      <c r="K26" s="279"/>
      <c r="L26" s="279"/>
      <c r="M26" s="280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8"/>
      <c r="B27" s="219"/>
      <c r="C27" s="279"/>
      <c r="D27" s="279"/>
      <c r="E27" s="279"/>
      <c r="F27" s="279"/>
      <c r="G27" s="279"/>
      <c r="H27" s="279"/>
      <c r="I27" s="279"/>
      <c r="J27" s="279"/>
      <c r="K27" s="279"/>
      <c r="L27" s="279"/>
      <c r="M27" s="280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8"/>
      <c r="B28" s="219"/>
      <c r="C28" s="279"/>
      <c r="D28" s="279"/>
      <c r="E28" s="279"/>
      <c r="F28" s="279"/>
      <c r="G28" s="279"/>
      <c r="H28" s="279"/>
      <c r="I28" s="279"/>
      <c r="J28" s="279"/>
      <c r="K28" s="279"/>
      <c r="L28" s="279"/>
      <c r="M28" s="280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8"/>
      <c r="B29" s="219"/>
      <c r="C29" s="279"/>
      <c r="D29" s="279"/>
      <c r="E29" s="279"/>
      <c r="F29" s="279"/>
      <c r="G29" s="279"/>
      <c r="H29" s="279"/>
      <c r="I29" s="279"/>
      <c r="J29" s="279"/>
      <c r="K29" s="279"/>
      <c r="L29" s="279"/>
      <c r="M29" s="280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7"/>
      <c r="AO29" s="207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7"/>
      <c r="BB29" s="207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7"/>
      <c r="BO29" s="207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7"/>
      <c r="CB29" s="207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7"/>
      <c r="CO29" s="207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7"/>
      <c r="DB29" s="207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7"/>
      <c r="DO29" s="207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7"/>
      <c r="EB29" s="207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7"/>
      <c r="EO29" s="207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7"/>
      <c r="FB29" s="207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7"/>
      <c r="FO29" s="207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7"/>
      <c r="GB29" s="207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7"/>
      <c r="GO29" s="207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7"/>
      <c r="HB29" s="207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7"/>
      <c r="HO29" s="207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7"/>
      <c r="IB29" s="207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7"/>
      <c r="IO29" s="207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8"/>
      <c r="B30" s="219"/>
      <c r="C30" s="279"/>
      <c r="D30" s="279"/>
      <c r="E30" s="279"/>
      <c r="F30" s="279"/>
      <c r="G30" s="279"/>
      <c r="H30" s="279"/>
      <c r="I30" s="279"/>
      <c r="J30" s="279"/>
      <c r="K30" s="279"/>
      <c r="L30" s="279"/>
      <c r="M30" s="280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7"/>
      <c r="AO30" s="207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7"/>
      <c r="BB30" s="207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7"/>
      <c r="BO30" s="207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7"/>
      <c r="CB30" s="207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7"/>
      <c r="CO30" s="207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7"/>
      <c r="DB30" s="207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7"/>
      <c r="DO30" s="207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7"/>
      <c r="EB30" s="207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7"/>
      <c r="EO30" s="207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7"/>
      <c r="FB30" s="207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7"/>
      <c r="FO30" s="207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7"/>
      <c r="GB30" s="207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7"/>
      <c r="GO30" s="207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7"/>
      <c r="HB30" s="207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7"/>
      <c r="HO30" s="207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7"/>
      <c r="IB30" s="207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7"/>
      <c r="IO30" s="207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8"/>
      <c r="B31" s="219"/>
      <c r="C31" s="279"/>
      <c r="D31" s="279"/>
      <c r="E31" s="279"/>
      <c r="F31" s="279"/>
      <c r="G31" s="279"/>
      <c r="H31" s="279"/>
      <c r="I31" s="279"/>
      <c r="J31" s="279"/>
      <c r="K31" s="279"/>
      <c r="L31" s="279"/>
      <c r="M31" s="280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7"/>
      <c r="AO31" s="207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7"/>
      <c r="BB31" s="207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7"/>
      <c r="BO31" s="207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7"/>
      <c r="CB31" s="207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7"/>
      <c r="CO31" s="207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7"/>
      <c r="DB31" s="207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7"/>
      <c r="DO31" s="207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7"/>
      <c r="EB31" s="207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7"/>
      <c r="EO31" s="207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7"/>
      <c r="FB31" s="207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7"/>
      <c r="FO31" s="207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7"/>
      <c r="GB31" s="207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7"/>
      <c r="GO31" s="207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7"/>
      <c r="HB31" s="207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7"/>
      <c r="HO31" s="207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7"/>
      <c r="IB31" s="207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7"/>
      <c r="IO31" s="207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8"/>
      <c r="B32" s="219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80"/>
      <c r="N32" s="223"/>
      <c r="O32" s="223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7"/>
      <c r="AA32" s="218"/>
      <c r="AB32" s="219"/>
      <c r="AC32" s="279"/>
      <c r="AD32" s="279"/>
      <c r="AE32" s="279"/>
      <c r="AF32" s="279"/>
      <c r="AG32" s="279"/>
      <c r="AH32" s="279"/>
      <c r="AI32" s="279"/>
      <c r="AJ32" s="279"/>
      <c r="AK32" s="279"/>
      <c r="AL32" s="279"/>
      <c r="AM32" s="280"/>
      <c r="AN32" s="218"/>
      <c r="AO32" s="21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80"/>
      <c r="BA32" s="218"/>
      <c r="BB32" s="219"/>
      <c r="BC32" s="279"/>
      <c r="BD32" s="279"/>
      <c r="BE32" s="279"/>
      <c r="BF32" s="279"/>
      <c r="BG32" s="279"/>
      <c r="BH32" s="279"/>
      <c r="BI32" s="279"/>
      <c r="BJ32" s="279"/>
      <c r="BK32" s="279"/>
      <c r="BL32" s="279"/>
      <c r="BM32" s="280"/>
      <c r="BN32" s="218"/>
      <c r="BO32" s="219"/>
      <c r="BP32" s="279"/>
      <c r="BQ32" s="279"/>
      <c r="BR32" s="279"/>
      <c r="BS32" s="279"/>
      <c r="BT32" s="279"/>
      <c r="BU32" s="279"/>
      <c r="BV32" s="279"/>
      <c r="BW32" s="279"/>
      <c r="BX32" s="279"/>
      <c r="BY32" s="279"/>
      <c r="BZ32" s="280"/>
      <c r="CA32" s="218"/>
      <c r="CB32" s="219"/>
      <c r="CC32" s="279"/>
      <c r="CD32" s="279"/>
      <c r="CE32" s="279"/>
      <c r="CF32" s="279"/>
      <c r="CG32" s="279"/>
      <c r="CH32" s="279"/>
      <c r="CI32" s="279"/>
      <c r="CJ32" s="279"/>
      <c r="CK32" s="279"/>
      <c r="CL32" s="279"/>
      <c r="CM32" s="280"/>
      <c r="CN32" s="218"/>
      <c r="CO32" s="219"/>
      <c r="CP32" s="279"/>
      <c r="CQ32" s="279"/>
      <c r="CR32" s="279"/>
      <c r="CS32" s="279"/>
      <c r="CT32" s="279"/>
      <c r="CU32" s="279"/>
      <c r="CV32" s="279"/>
      <c r="CW32" s="279"/>
      <c r="CX32" s="279"/>
      <c r="CY32" s="279"/>
      <c r="CZ32" s="280"/>
      <c r="DA32" s="218"/>
      <c r="DB32" s="219"/>
      <c r="DC32" s="279"/>
      <c r="DD32" s="279"/>
      <c r="DE32" s="279"/>
      <c r="DF32" s="279"/>
      <c r="DG32" s="279"/>
      <c r="DH32" s="279"/>
      <c r="DI32" s="279"/>
      <c r="DJ32" s="279"/>
      <c r="DK32" s="279"/>
      <c r="DL32" s="279"/>
      <c r="DM32" s="280"/>
      <c r="DN32" s="218"/>
      <c r="DO32" s="219"/>
      <c r="DP32" s="279"/>
      <c r="DQ32" s="279"/>
      <c r="DR32" s="279"/>
      <c r="DS32" s="279"/>
      <c r="DT32" s="279"/>
      <c r="DU32" s="279"/>
      <c r="DV32" s="279"/>
      <c r="DW32" s="279"/>
      <c r="DX32" s="279"/>
      <c r="DY32" s="279"/>
      <c r="DZ32" s="280"/>
      <c r="EA32" s="218"/>
      <c r="EB32" s="219"/>
      <c r="EC32" s="279"/>
      <c r="ED32" s="279"/>
      <c r="EE32" s="279"/>
      <c r="EF32" s="279"/>
      <c r="EG32" s="279"/>
      <c r="EH32" s="279"/>
      <c r="EI32" s="279"/>
      <c r="EJ32" s="279"/>
      <c r="EK32" s="279"/>
      <c r="EL32" s="279"/>
      <c r="EM32" s="280"/>
      <c r="EN32" s="218"/>
      <c r="EO32" s="219"/>
      <c r="EP32" s="279"/>
      <c r="EQ32" s="279"/>
      <c r="ER32" s="279"/>
      <c r="ES32" s="279"/>
      <c r="ET32" s="279"/>
      <c r="EU32" s="279"/>
      <c r="EV32" s="279"/>
      <c r="EW32" s="279"/>
      <c r="EX32" s="279"/>
      <c r="EY32" s="279"/>
      <c r="EZ32" s="280"/>
      <c r="FA32" s="218"/>
      <c r="FB32" s="219"/>
      <c r="FC32" s="279"/>
      <c r="FD32" s="279"/>
      <c r="FE32" s="279"/>
      <c r="FF32" s="279"/>
      <c r="FG32" s="279"/>
      <c r="FH32" s="279"/>
      <c r="FI32" s="279"/>
      <c r="FJ32" s="279"/>
      <c r="FK32" s="279"/>
      <c r="FL32" s="279"/>
      <c r="FM32" s="280"/>
      <c r="FN32" s="218"/>
      <c r="FO32" s="219"/>
      <c r="FP32" s="279"/>
      <c r="FQ32" s="279"/>
      <c r="FR32" s="279"/>
      <c r="FS32" s="279"/>
      <c r="FT32" s="279"/>
      <c r="FU32" s="279"/>
      <c r="FV32" s="279"/>
      <c r="FW32" s="279"/>
      <c r="FX32" s="279"/>
      <c r="FY32" s="279"/>
      <c r="FZ32" s="280"/>
      <c r="GA32" s="218"/>
      <c r="GB32" s="219"/>
      <c r="GC32" s="279"/>
      <c r="GD32" s="279"/>
      <c r="GE32" s="279"/>
      <c r="GF32" s="279"/>
      <c r="GG32" s="279"/>
      <c r="GH32" s="279"/>
      <c r="GI32" s="279"/>
      <c r="GJ32" s="279"/>
      <c r="GK32" s="279"/>
      <c r="GL32" s="279"/>
      <c r="GM32" s="280"/>
      <c r="GN32" s="218"/>
      <c r="GO32" s="219"/>
      <c r="GP32" s="279"/>
      <c r="GQ32" s="279"/>
      <c r="GR32" s="279"/>
      <c r="GS32" s="279"/>
      <c r="GT32" s="279"/>
      <c r="GU32" s="279"/>
      <c r="GV32" s="279"/>
      <c r="GW32" s="279"/>
      <c r="GX32" s="279"/>
      <c r="GY32" s="279"/>
      <c r="GZ32" s="280"/>
      <c r="HA32" s="218"/>
      <c r="HB32" s="219"/>
      <c r="HC32" s="279"/>
      <c r="HD32" s="279"/>
      <c r="HE32" s="279"/>
      <c r="HF32" s="279"/>
      <c r="HG32" s="279"/>
      <c r="HH32" s="279"/>
      <c r="HI32" s="279"/>
      <c r="HJ32" s="279"/>
      <c r="HK32" s="279"/>
      <c r="HL32" s="279"/>
      <c r="HM32" s="280"/>
      <c r="HN32" s="218"/>
      <c r="HO32" s="219"/>
      <c r="HP32" s="279"/>
      <c r="HQ32" s="279"/>
      <c r="HR32" s="279"/>
      <c r="HS32" s="279"/>
      <c r="HT32" s="279"/>
      <c r="HU32" s="279"/>
      <c r="HV32" s="279"/>
      <c r="HW32" s="279"/>
      <c r="HX32" s="279"/>
      <c r="HY32" s="279"/>
      <c r="HZ32" s="280"/>
      <c r="IA32" s="218"/>
      <c r="IB32" s="219"/>
      <c r="IC32" s="279"/>
      <c r="ID32" s="279"/>
      <c r="IE32" s="279"/>
      <c r="IF32" s="279"/>
      <c r="IG32" s="279"/>
      <c r="IH32" s="279"/>
      <c r="II32" s="279"/>
      <c r="IJ32" s="279"/>
      <c r="IK32" s="279"/>
      <c r="IL32" s="279"/>
      <c r="IM32" s="280"/>
      <c r="IN32" s="218"/>
      <c r="IO32" s="219"/>
      <c r="IP32" s="279"/>
      <c r="IQ32" s="279"/>
      <c r="IR32" s="279"/>
      <c r="IS32" s="279"/>
      <c r="IT32" s="279"/>
      <c r="IU32" s="279"/>
      <c r="IV32" s="279"/>
    </row>
    <row r="33" spans="1:256" x14ac:dyDescent="0.2">
      <c r="A33" s="218"/>
      <c r="B33" s="219"/>
      <c r="C33" s="279"/>
      <c r="D33" s="279"/>
      <c r="E33" s="279"/>
      <c r="F33" s="279"/>
      <c r="G33" s="279"/>
      <c r="H33" s="279"/>
      <c r="I33" s="279"/>
      <c r="J33" s="279"/>
      <c r="K33" s="279"/>
      <c r="L33" s="279"/>
      <c r="M33" s="280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79"/>
      <c r="D34" s="279"/>
      <c r="E34" s="279"/>
      <c r="F34" s="279"/>
      <c r="G34" s="279"/>
      <c r="H34" s="279"/>
      <c r="I34" s="279"/>
      <c r="J34" s="279"/>
      <c r="K34" s="279"/>
      <c r="L34" s="279"/>
      <c r="M34" s="280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80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79"/>
      <c r="D36" s="279"/>
      <c r="E36" s="279"/>
      <c r="F36" s="279"/>
      <c r="G36" s="279"/>
      <c r="H36" s="279"/>
      <c r="I36" s="279"/>
      <c r="J36" s="279"/>
      <c r="K36" s="279"/>
      <c r="L36" s="279"/>
      <c r="M36" s="280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79"/>
      <c r="D37" s="279"/>
      <c r="E37" s="279"/>
      <c r="F37" s="279"/>
      <c r="G37" s="279"/>
      <c r="H37" s="279"/>
      <c r="I37" s="279"/>
      <c r="J37" s="279"/>
      <c r="K37" s="279"/>
      <c r="L37" s="279"/>
      <c r="M37" s="280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79"/>
      <c r="D38" s="279"/>
      <c r="E38" s="279"/>
      <c r="F38" s="279"/>
      <c r="G38" s="279"/>
      <c r="H38" s="279"/>
      <c r="I38" s="279"/>
      <c r="J38" s="279"/>
      <c r="K38" s="279"/>
      <c r="L38" s="279"/>
      <c r="M38" s="280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7"/>
      <c r="AO38" s="207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7"/>
      <c r="BB38" s="207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7"/>
      <c r="BO38" s="207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7"/>
      <c r="CB38" s="207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7"/>
      <c r="CO38" s="207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7"/>
      <c r="DB38" s="207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7"/>
      <c r="DO38" s="207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7"/>
      <c r="EB38" s="207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7"/>
      <c r="EO38" s="207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7"/>
      <c r="FB38" s="207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7"/>
      <c r="FO38" s="207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7"/>
      <c r="GB38" s="207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7"/>
      <c r="GO38" s="207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7"/>
      <c r="HB38" s="207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7"/>
      <c r="HO38" s="207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7"/>
      <c r="IB38" s="207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7"/>
      <c r="IO38" s="207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8"/>
      <c r="B39" s="219"/>
      <c r="C39" s="279"/>
      <c r="D39" s="279"/>
      <c r="E39" s="279"/>
      <c r="F39" s="279"/>
      <c r="G39" s="279"/>
      <c r="H39" s="279"/>
      <c r="I39" s="279"/>
      <c r="J39" s="279"/>
      <c r="K39" s="279"/>
      <c r="L39" s="279"/>
      <c r="M39" s="280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7"/>
      <c r="AO39" s="207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7"/>
      <c r="BB39" s="207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7"/>
      <c r="BO39" s="207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7"/>
      <c r="CB39" s="207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7"/>
      <c r="CO39" s="207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7"/>
      <c r="DB39" s="207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7"/>
      <c r="DO39" s="207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7"/>
      <c r="EB39" s="207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7"/>
      <c r="EO39" s="207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7"/>
      <c r="FB39" s="207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7"/>
      <c r="FO39" s="207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7"/>
      <c r="GB39" s="207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7"/>
      <c r="GO39" s="207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7"/>
      <c r="HB39" s="207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7"/>
      <c r="HO39" s="207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7"/>
      <c r="IB39" s="207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7"/>
      <c r="IO39" s="207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8"/>
      <c r="B40" s="219"/>
      <c r="C40" s="279"/>
      <c r="D40" s="279"/>
      <c r="E40" s="279"/>
      <c r="F40" s="279"/>
      <c r="G40" s="279"/>
      <c r="H40" s="279"/>
      <c r="I40" s="279"/>
      <c r="J40" s="279"/>
      <c r="K40" s="279"/>
      <c r="L40" s="279"/>
      <c r="M40" s="280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7"/>
      <c r="AO40" s="207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7"/>
      <c r="BB40" s="207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7"/>
      <c r="BO40" s="207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7"/>
      <c r="CB40" s="207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7"/>
      <c r="CO40" s="207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7"/>
      <c r="DB40" s="207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7"/>
      <c r="DO40" s="207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7"/>
      <c r="EB40" s="207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7"/>
      <c r="EO40" s="207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7"/>
      <c r="FB40" s="207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7"/>
      <c r="FO40" s="207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7"/>
      <c r="GB40" s="207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7"/>
      <c r="GO40" s="207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7"/>
      <c r="HB40" s="207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7"/>
      <c r="HO40" s="207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7"/>
      <c r="IB40" s="207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7"/>
      <c r="IO40" s="207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8"/>
      <c r="B41" s="219"/>
      <c r="C41" s="279"/>
      <c r="D41" s="279"/>
      <c r="E41" s="279"/>
      <c r="F41" s="279"/>
      <c r="G41" s="279"/>
      <c r="H41" s="279"/>
      <c r="I41" s="279"/>
      <c r="J41" s="279"/>
      <c r="K41" s="279"/>
      <c r="L41" s="279"/>
      <c r="M41" s="280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79"/>
      <c r="D42" s="279"/>
      <c r="E42" s="279"/>
      <c r="F42" s="279"/>
      <c r="G42" s="279"/>
      <c r="H42" s="279"/>
      <c r="I42" s="279"/>
      <c r="J42" s="279"/>
      <c r="K42" s="279"/>
      <c r="L42" s="279"/>
      <c r="M42" s="280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80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79"/>
      <c r="D44" s="279"/>
      <c r="E44" s="279"/>
      <c r="F44" s="279"/>
      <c r="G44" s="279"/>
      <c r="H44" s="279"/>
      <c r="I44" s="279"/>
      <c r="J44" s="279"/>
      <c r="K44" s="279"/>
      <c r="L44" s="279"/>
      <c r="M44" s="280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79"/>
      <c r="D45" s="279"/>
      <c r="E45" s="279"/>
      <c r="F45" s="279"/>
      <c r="G45" s="279"/>
      <c r="H45" s="279"/>
      <c r="I45" s="279"/>
      <c r="J45" s="279"/>
      <c r="K45" s="279"/>
      <c r="L45" s="279"/>
      <c r="M45" s="280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79"/>
      <c r="D46" s="279"/>
      <c r="E46" s="279"/>
      <c r="F46" s="279"/>
      <c r="G46" s="279"/>
      <c r="H46" s="279"/>
      <c r="I46" s="279"/>
      <c r="J46" s="279"/>
      <c r="K46" s="279"/>
      <c r="L46" s="279"/>
      <c r="M46" s="280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79"/>
      <c r="D47" s="279"/>
      <c r="E47" s="279"/>
      <c r="F47" s="279"/>
      <c r="G47" s="279"/>
      <c r="H47" s="279"/>
      <c r="I47" s="279"/>
      <c r="J47" s="279"/>
      <c r="K47" s="279"/>
      <c r="L47" s="279"/>
      <c r="M47" s="280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79"/>
      <c r="D48" s="279"/>
      <c r="E48" s="279"/>
      <c r="F48" s="279"/>
      <c r="G48" s="279"/>
      <c r="H48" s="279"/>
      <c r="I48" s="279"/>
      <c r="J48" s="279"/>
      <c r="K48" s="279"/>
      <c r="L48" s="279"/>
      <c r="M48" s="280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79"/>
      <c r="D49" s="279"/>
      <c r="E49" s="279"/>
      <c r="F49" s="279"/>
      <c r="G49" s="279"/>
      <c r="H49" s="279"/>
      <c r="I49" s="279"/>
      <c r="J49" s="279"/>
      <c r="K49" s="279"/>
      <c r="L49" s="279"/>
      <c r="M49" s="280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79"/>
      <c r="D50" s="279"/>
      <c r="E50" s="279"/>
      <c r="F50" s="279"/>
      <c r="G50" s="279"/>
      <c r="H50" s="279"/>
      <c r="I50" s="279"/>
      <c r="J50" s="279"/>
      <c r="K50" s="279"/>
      <c r="L50" s="279"/>
      <c r="M50" s="280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8"/>
      <c r="B51" s="219"/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80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8"/>
      <c r="B52" s="219"/>
      <c r="C52" s="279"/>
      <c r="D52" s="279"/>
      <c r="E52" s="279"/>
      <c r="F52" s="279"/>
      <c r="G52" s="279"/>
      <c r="H52" s="279"/>
      <c r="I52" s="279"/>
      <c r="J52" s="279"/>
      <c r="K52" s="279"/>
      <c r="L52" s="279"/>
      <c r="M52" s="280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8"/>
      <c r="B53" s="219"/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80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8"/>
      <c r="B54" s="219"/>
      <c r="C54" s="279"/>
      <c r="D54" s="279"/>
      <c r="E54" s="279"/>
      <c r="F54" s="279"/>
      <c r="G54" s="279"/>
      <c r="H54" s="279"/>
      <c r="I54" s="279"/>
      <c r="J54" s="279"/>
      <c r="K54" s="279"/>
      <c r="L54" s="279"/>
      <c r="M54" s="280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8"/>
      <c r="B55" s="219"/>
      <c r="C55" s="279"/>
      <c r="D55" s="279"/>
      <c r="E55" s="279"/>
      <c r="F55" s="279"/>
      <c r="G55" s="279"/>
      <c r="H55" s="279"/>
      <c r="I55" s="279"/>
      <c r="J55" s="279"/>
      <c r="K55" s="279"/>
      <c r="L55" s="279"/>
      <c r="M55" s="280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8"/>
      <c r="B56" s="219"/>
      <c r="C56" s="279"/>
      <c r="D56" s="279"/>
      <c r="E56" s="279"/>
      <c r="F56" s="279"/>
      <c r="G56" s="279"/>
      <c r="H56" s="279"/>
      <c r="I56" s="279"/>
      <c r="J56" s="279"/>
      <c r="K56" s="279"/>
      <c r="L56" s="279"/>
      <c r="M56" s="280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8"/>
      <c r="B57" s="219"/>
      <c r="C57" s="279"/>
      <c r="D57" s="279"/>
      <c r="E57" s="279"/>
      <c r="F57" s="279"/>
      <c r="G57" s="279"/>
      <c r="H57" s="279"/>
      <c r="I57" s="279"/>
      <c r="J57" s="279"/>
      <c r="K57" s="279"/>
      <c r="L57" s="279"/>
      <c r="M57" s="280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8"/>
      <c r="B58" s="21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80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8"/>
      <c r="B59" s="21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80"/>
    </row>
    <row r="60" spans="1:256" x14ac:dyDescent="0.2">
      <c r="A60" s="218"/>
      <c r="B60" s="219"/>
      <c r="C60" s="279"/>
      <c r="D60" s="279"/>
      <c r="E60" s="279"/>
      <c r="F60" s="279"/>
      <c r="G60" s="279"/>
      <c r="H60" s="279"/>
      <c r="I60" s="279"/>
      <c r="J60" s="279"/>
      <c r="K60" s="279"/>
      <c r="L60" s="279"/>
      <c r="M60" s="280"/>
    </row>
    <row r="61" spans="1:256" x14ac:dyDescent="0.2">
      <c r="A61" s="218"/>
      <c r="B61" s="219"/>
      <c r="C61" s="279"/>
      <c r="D61" s="279"/>
      <c r="E61" s="279"/>
      <c r="F61" s="279"/>
      <c r="G61" s="279"/>
      <c r="H61" s="279"/>
      <c r="I61" s="279"/>
      <c r="J61" s="279"/>
      <c r="K61" s="279"/>
      <c r="L61" s="279"/>
      <c r="M61" s="280"/>
    </row>
    <row r="62" spans="1:256" x14ac:dyDescent="0.2">
      <c r="A62" s="218"/>
      <c r="B62" s="219"/>
      <c r="C62" s="279"/>
      <c r="D62" s="279"/>
      <c r="E62" s="279"/>
      <c r="F62" s="279"/>
      <c r="G62" s="279"/>
      <c r="H62" s="279"/>
      <c r="I62" s="279"/>
      <c r="J62" s="279"/>
      <c r="K62" s="279"/>
      <c r="L62" s="279"/>
      <c r="M62" s="280"/>
    </row>
    <row r="63" spans="1:256" x14ac:dyDescent="0.2">
      <c r="A63" s="218"/>
      <c r="B63" s="219"/>
      <c r="C63" s="279"/>
      <c r="D63" s="279"/>
      <c r="E63" s="279"/>
      <c r="F63" s="279"/>
      <c r="G63" s="279"/>
      <c r="H63" s="279"/>
      <c r="I63" s="279"/>
      <c r="J63" s="279"/>
      <c r="K63" s="279"/>
      <c r="L63" s="279"/>
      <c r="M63" s="280"/>
    </row>
    <row r="64" spans="1:256" x14ac:dyDescent="0.2">
      <c r="A64" s="218"/>
      <c r="B64" s="219"/>
      <c r="C64" s="279"/>
      <c r="D64" s="279"/>
      <c r="E64" s="279"/>
      <c r="F64" s="279"/>
      <c r="G64" s="279"/>
      <c r="H64" s="279"/>
      <c r="I64" s="279"/>
      <c r="J64" s="279"/>
      <c r="K64" s="279"/>
      <c r="L64" s="279"/>
      <c r="M64" s="280"/>
    </row>
    <row r="65" spans="1:13" x14ac:dyDescent="0.2">
      <c r="A65" s="218"/>
      <c r="B65" s="219"/>
      <c r="C65" s="279"/>
      <c r="D65" s="279"/>
      <c r="E65" s="279"/>
      <c r="F65" s="279"/>
      <c r="G65" s="279"/>
      <c r="H65" s="279"/>
      <c r="I65" s="279"/>
      <c r="J65" s="279"/>
      <c r="K65" s="279"/>
      <c r="L65" s="279"/>
      <c r="M65" s="280"/>
    </row>
    <row r="66" spans="1:13" x14ac:dyDescent="0.2">
      <c r="A66" s="218"/>
      <c r="B66" s="219"/>
      <c r="C66" s="279"/>
      <c r="D66" s="279"/>
      <c r="E66" s="279"/>
      <c r="F66" s="279"/>
      <c r="G66" s="279"/>
      <c r="H66" s="279"/>
      <c r="I66" s="279"/>
      <c r="J66" s="279"/>
      <c r="K66" s="279"/>
      <c r="L66" s="279"/>
      <c r="M66" s="280"/>
    </row>
    <row r="67" spans="1:13" x14ac:dyDescent="0.2">
      <c r="A67" s="218"/>
      <c r="B67" s="219"/>
      <c r="C67" s="279"/>
      <c r="D67" s="279"/>
      <c r="E67" s="279"/>
      <c r="F67" s="279"/>
      <c r="G67" s="279"/>
      <c r="H67" s="279"/>
      <c r="I67" s="279"/>
      <c r="J67" s="279"/>
      <c r="K67" s="279"/>
      <c r="L67" s="279"/>
      <c r="M67" s="280"/>
    </row>
    <row r="68" spans="1:13" x14ac:dyDescent="0.2">
      <c r="A68" s="218"/>
      <c r="B68" s="219"/>
      <c r="C68" s="279"/>
      <c r="D68" s="279"/>
      <c r="E68" s="279"/>
      <c r="F68" s="279"/>
      <c r="G68" s="279"/>
      <c r="H68" s="279"/>
      <c r="I68" s="279"/>
      <c r="J68" s="279"/>
      <c r="K68" s="279"/>
      <c r="L68" s="279"/>
      <c r="M68" s="280"/>
    </row>
    <row r="69" spans="1:13" x14ac:dyDescent="0.2">
      <c r="A69" s="218"/>
      <c r="B69" s="219"/>
      <c r="C69" s="279"/>
      <c r="D69" s="279"/>
      <c r="E69" s="279"/>
      <c r="F69" s="279"/>
      <c r="G69" s="279"/>
      <c r="H69" s="279"/>
      <c r="I69" s="279"/>
      <c r="J69" s="279"/>
      <c r="K69" s="279"/>
      <c r="L69" s="279"/>
      <c r="M69" s="280"/>
    </row>
    <row r="70" spans="1:13" ht="12" thickBot="1" x14ac:dyDescent="0.25">
      <c r="A70" s="220"/>
      <c r="B70" s="22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2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3" t="s">
        <v>848</v>
      </c>
      <c r="B72" s="283"/>
      <c r="C72" s="283"/>
      <c r="D72" s="283"/>
      <c r="E72" s="283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10" t="s">
        <v>768</v>
      </c>
      <c r="B73" s="210" t="s">
        <v>769</v>
      </c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</row>
    <row r="74" spans="1:13" x14ac:dyDescent="0.2">
      <c r="A74" s="211"/>
      <c r="B74" s="211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</row>
    <row r="75" spans="1:13" x14ac:dyDescent="0.2">
      <c r="A75" s="211"/>
      <c r="B75" s="211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</row>
    <row r="76" spans="1:13" x14ac:dyDescent="0.2">
      <c r="A76" s="211"/>
      <c r="B76" s="211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</row>
    <row r="77" spans="1:13" x14ac:dyDescent="0.2">
      <c r="A77" s="211"/>
      <c r="B77" s="211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</row>
    <row r="78" spans="1:13" x14ac:dyDescent="0.2">
      <c r="A78" s="211"/>
      <c r="B78" s="211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</row>
    <row r="79" spans="1:13" x14ac:dyDescent="0.2">
      <c r="A79" s="211"/>
      <c r="B79" s="211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</row>
    <row r="80" spans="1:13" x14ac:dyDescent="0.2">
      <c r="A80" s="211"/>
      <c r="B80" s="211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</row>
    <row r="81" spans="1:13" x14ac:dyDescent="0.2">
      <c r="A81" s="211"/>
      <c r="B81" s="211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</row>
    <row r="82" spans="1:13" x14ac:dyDescent="0.2">
      <c r="A82" s="211"/>
      <c r="B82" s="211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</row>
    <row r="83" spans="1:13" x14ac:dyDescent="0.2">
      <c r="A83" s="211"/>
      <c r="B83" s="211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</row>
    <row r="84" spans="1:13" x14ac:dyDescent="0.2">
      <c r="A84" s="211"/>
      <c r="B84" s="211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</row>
    <row r="85" spans="1:13" x14ac:dyDescent="0.2">
      <c r="A85" s="211"/>
      <c r="B85" s="211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</row>
    <row r="86" spans="1:13" x14ac:dyDescent="0.2">
      <c r="A86" s="211"/>
      <c r="B86" s="211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</row>
    <row r="87" spans="1:13" x14ac:dyDescent="0.2">
      <c r="A87" s="211"/>
      <c r="B87" s="211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</row>
    <row r="88" spans="1:13" x14ac:dyDescent="0.2">
      <c r="A88" s="211"/>
      <c r="B88" s="211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</row>
    <row r="89" spans="1:13" x14ac:dyDescent="0.2">
      <c r="A89" s="211"/>
      <c r="B89" s="211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</row>
    <row r="90" spans="1:13" x14ac:dyDescent="0.2">
      <c r="A90" s="211"/>
      <c r="B90" s="211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</row>
  </sheetData>
  <sheetProtection password="BF0A" sheet="1" objects="1" scenarios="1"/>
  <mergeCells count="223"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38:Z38"/>
    <mergeCell ref="AC38:AM38"/>
    <mergeCell ref="AP38:AZ38"/>
    <mergeCell ref="EP38:EZ38"/>
    <mergeCell ref="FC38:FM38"/>
    <mergeCell ref="HP38:HZ38"/>
    <mergeCell ref="IC38:IM38"/>
    <mergeCell ref="IP38:IV38"/>
    <mergeCell ref="BP38:BZ38"/>
    <mergeCell ref="CC38:CM38"/>
    <mergeCell ref="P39:Z39"/>
    <mergeCell ref="AC39:AM39"/>
    <mergeCell ref="AP39:AZ39"/>
    <mergeCell ref="HP39:HZ39"/>
    <mergeCell ref="IC39:IM39"/>
    <mergeCell ref="IP32:IV32"/>
    <mergeCell ref="FP38:FZ38"/>
    <mergeCell ref="GC38:GM38"/>
    <mergeCell ref="GP38:GZ38"/>
    <mergeCell ref="HC38:HM38"/>
    <mergeCell ref="CP38:CZ38"/>
    <mergeCell ref="HC32:HM32"/>
    <mergeCell ref="DC32:DM32"/>
    <mergeCell ref="DP32:DZ32"/>
    <mergeCell ref="EC32:EM32"/>
    <mergeCell ref="EP32:EZ32"/>
    <mergeCell ref="FC32:FM32"/>
    <mergeCell ref="HP31:HZ31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HP32:HZ32"/>
    <mergeCell ref="IC32:IM32"/>
    <mergeCell ref="EP30:EZ30"/>
    <mergeCell ref="FC30:FM30"/>
    <mergeCell ref="FP30:FZ30"/>
    <mergeCell ref="FC31:FM31"/>
    <mergeCell ref="FP31:FZ31"/>
    <mergeCell ref="GC31:GM31"/>
    <mergeCell ref="GP31:GZ31"/>
    <mergeCell ref="HC31:HM31"/>
    <mergeCell ref="AC32:AM32"/>
    <mergeCell ref="AP32:AZ32"/>
    <mergeCell ref="BC38:BM38"/>
    <mergeCell ref="BP39:BZ3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EC29:EM29"/>
    <mergeCell ref="EP29:EZ29"/>
    <mergeCell ref="EC30:EM30"/>
    <mergeCell ref="FC29:FM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CP29:CZ29"/>
    <mergeCell ref="DC29:DM29"/>
    <mergeCell ref="AP29:AZ29"/>
    <mergeCell ref="C14:M14"/>
    <mergeCell ref="C15:M15"/>
    <mergeCell ref="C16:M16"/>
    <mergeCell ref="C17:M17"/>
    <mergeCell ref="C18:M18"/>
    <mergeCell ref="C19:M19"/>
    <mergeCell ref="A2:E2"/>
    <mergeCell ref="C20:M20"/>
    <mergeCell ref="C5:M5"/>
    <mergeCell ref="C6:M6"/>
    <mergeCell ref="C7:M7"/>
    <mergeCell ref="P31:Z31"/>
    <mergeCell ref="AC31:AM31"/>
    <mergeCell ref="AP31:AZ31"/>
    <mergeCell ref="P32:Z32"/>
    <mergeCell ref="DP29:DZ29"/>
    <mergeCell ref="CC30:CM30"/>
    <mergeCell ref="BC30:BM30"/>
    <mergeCell ref="BP30:BZ30"/>
    <mergeCell ref="CP30:CZ30"/>
    <mergeCell ref="DC30:DM30"/>
    <mergeCell ref="DP30:DZ30"/>
    <mergeCell ref="CC32:CM32"/>
    <mergeCell ref="BP32:BZ32"/>
    <mergeCell ref="C13:M13"/>
    <mergeCell ref="C34:M34"/>
    <mergeCell ref="C35:M35"/>
    <mergeCell ref="C36:M36"/>
    <mergeCell ref="C9:M9"/>
    <mergeCell ref="C10:M10"/>
    <mergeCell ref="C11:M11"/>
    <mergeCell ref="C12:M12"/>
    <mergeCell ref="C21:M21"/>
    <mergeCell ref="C22:M22"/>
    <mergeCell ref="C23:M23"/>
    <mergeCell ref="C24:M24"/>
    <mergeCell ref="C32:M32"/>
    <mergeCell ref="C30:M30"/>
    <mergeCell ref="C31:M31"/>
    <mergeCell ref="C8:M8"/>
    <mergeCell ref="C38:M38"/>
    <mergeCell ref="C39:M39"/>
    <mergeCell ref="C40:M40"/>
    <mergeCell ref="C87:M87"/>
    <mergeCell ref="C88:M88"/>
    <mergeCell ref="C89:M89"/>
    <mergeCell ref="C90:M90"/>
    <mergeCell ref="C83:M83"/>
    <mergeCell ref="C84:M84"/>
    <mergeCell ref="C85:M85"/>
    <mergeCell ref="C86:M86"/>
    <mergeCell ref="C53:M53"/>
    <mergeCell ref="C54:M54"/>
    <mergeCell ref="C55:M55"/>
    <mergeCell ref="C75:M75"/>
    <mergeCell ref="C76:M76"/>
    <mergeCell ref="C66:M66"/>
    <mergeCell ref="C67:M67"/>
    <mergeCell ref="C68:M68"/>
    <mergeCell ref="C69:M69"/>
    <mergeCell ref="C56:M56"/>
    <mergeCell ref="C63:M63"/>
    <mergeCell ref="C64:M64"/>
    <mergeCell ref="C29:M29"/>
    <mergeCell ref="C25:M25"/>
    <mergeCell ref="C26:M26"/>
    <mergeCell ref="C27:M27"/>
    <mergeCell ref="C28:M28"/>
    <mergeCell ref="C77:M77"/>
    <mergeCell ref="C78:M78"/>
    <mergeCell ref="C70:M70"/>
    <mergeCell ref="C52:M52"/>
    <mergeCell ref="C50:M50"/>
    <mergeCell ref="C47:M47"/>
    <mergeCell ref="C48:M48"/>
    <mergeCell ref="C49:M49"/>
    <mergeCell ref="C51:M51"/>
    <mergeCell ref="C58:M58"/>
    <mergeCell ref="A72:E72"/>
    <mergeCell ref="C62:M62"/>
    <mergeCell ref="C73:M73"/>
    <mergeCell ref="C74:M74"/>
    <mergeCell ref="C61:M61"/>
    <mergeCell ref="C65:M65"/>
    <mergeCell ref="C57:M57"/>
    <mergeCell ref="C59:M59"/>
    <mergeCell ref="C60:M60"/>
    <mergeCell ref="C81:M81"/>
    <mergeCell ref="C82:M82"/>
    <mergeCell ref="C79:M79"/>
    <mergeCell ref="C80:M8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2012-10-25T14:33:58Z</cp:lastPrinted>
  <dcterms:created xsi:type="dcterms:W3CDTF">1997-12-04T19:04:30Z</dcterms:created>
  <dcterms:modified xsi:type="dcterms:W3CDTF">2012-11-21T15:07:16Z</dcterms:modified>
</cp:coreProperties>
</file>