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78" i="1" l="1"/>
  <c r="J467" i="1" l="1"/>
  <c r="J95" i="1"/>
  <c r="J178" i="1" l="1"/>
  <c r="K265" i="1"/>
  <c r="G610" i="1"/>
  <c r="H527" i="1"/>
  <c r="H540" i="1"/>
  <c r="H525" i="1"/>
  <c r="I520" i="1"/>
  <c r="H520" i="1"/>
  <c r="G520" i="1"/>
  <c r="F520" i="1"/>
  <c r="G357" i="1"/>
  <c r="H282" i="1"/>
  <c r="I281" i="1"/>
  <c r="H281" i="1"/>
  <c r="I276" i="1"/>
  <c r="H276" i="1"/>
  <c r="G275" i="1"/>
  <c r="J275" i="1"/>
  <c r="I275" i="1"/>
  <c r="H275" i="1"/>
  <c r="H243" i="1"/>
  <c r="H233" i="1"/>
  <c r="H232" i="1"/>
  <c r="H225" i="1"/>
  <c r="H215" i="1"/>
  <c r="I203" i="1"/>
  <c r="I202" i="1"/>
  <c r="I201" i="1"/>
  <c r="H207" i="1"/>
  <c r="H203" i="1"/>
  <c r="H202" i="1"/>
  <c r="H201" i="1"/>
  <c r="G203" i="1"/>
  <c r="G202" i="1"/>
  <c r="G199" i="1"/>
  <c r="F203" i="1"/>
  <c r="F199" i="1"/>
  <c r="F109" i="1"/>
  <c r="F9" i="1"/>
  <c r="F40" i="2" l="1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C69" i="2" s="1"/>
  <c r="B2" i="13"/>
  <c r="F8" i="13"/>
  <c r="G8" i="13"/>
  <c r="L203" i="1"/>
  <c r="C119" i="2" s="1"/>
  <c r="L221" i="1"/>
  <c r="L239" i="1"/>
  <c r="D39" i="13"/>
  <c r="F13" i="13"/>
  <c r="G13" i="13"/>
  <c r="L205" i="1"/>
  <c r="L223" i="1"/>
  <c r="L241" i="1"/>
  <c r="F16" i="13"/>
  <c r="G16" i="13"/>
  <c r="L208" i="1"/>
  <c r="C124" i="2" s="1"/>
  <c r="L226" i="1"/>
  <c r="L244" i="1"/>
  <c r="F5" i="13"/>
  <c r="G5" i="13"/>
  <c r="L196" i="1"/>
  <c r="L197" i="1"/>
  <c r="L198" i="1"/>
  <c r="L199" i="1"/>
  <c r="C13" i="10" s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C117" i="2" s="1"/>
  <c r="F7" i="13"/>
  <c r="G7" i="13"/>
  <c r="L202" i="1"/>
  <c r="C16" i="10" s="1"/>
  <c r="L220" i="1"/>
  <c r="L238" i="1"/>
  <c r="F12" i="13"/>
  <c r="G12" i="13"/>
  <c r="L204" i="1"/>
  <c r="C18" i="10" s="1"/>
  <c r="L222" i="1"/>
  <c r="L240" i="1"/>
  <c r="F14" i="13"/>
  <c r="G14" i="13"/>
  <c r="L206" i="1"/>
  <c r="C122" i="2" s="1"/>
  <c r="L224" i="1"/>
  <c r="L242" i="1"/>
  <c r="F15" i="13"/>
  <c r="G15" i="13"/>
  <c r="L207" i="1"/>
  <c r="F661" i="1" s="1"/>
  <c r="L225" i="1"/>
  <c r="L243" i="1"/>
  <c r="C123" i="2" s="1"/>
  <c r="F17" i="13"/>
  <c r="G17" i="13"/>
  <c r="L250" i="1"/>
  <c r="F18" i="13"/>
  <c r="G18" i="13"/>
  <c r="L251" i="1"/>
  <c r="F19" i="13"/>
  <c r="G19" i="13"/>
  <c r="L252" i="1"/>
  <c r="F29" i="13"/>
  <c r="G29" i="13"/>
  <c r="L357" i="1"/>
  <c r="F660" i="1" s="1"/>
  <c r="L358" i="1"/>
  <c r="L359" i="1"/>
  <c r="I366" i="1"/>
  <c r="J289" i="1"/>
  <c r="J308" i="1"/>
  <c r="J327" i="1"/>
  <c r="F31" i="13" s="1"/>
  <c r="K289" i="1"/>
  <c r="G31" i="13" s="1"/>
  <c r="K308" i="1"/>
  <c r="K327" i="1"/>
  <c r="L275" i="1"/>
  <c r="L276" i="1"/>
  <c r="L277" i="1"/>
  <c r="L278" i="1"/>
  <c r="L280" i="1"/>
  <c r="L281" i="1"/>
  <c r="L282" i="1"/>
  <c r="L283" i="1"/>
  <c r="L284" i="1"/>
  <c r="E121" i="2" s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 s="1"/>
  <c r="G58" i="2"/>
  <c r="G61" i="2" s="1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G139" i="1" s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2" i="10"/>
  <c r="L249" i="1"/>
  <c r="L331" i="1"/>
  <c r="L253" i="1"/>
  <c r="C24" i="10" s="1"/>
  <c r="C25" i="10"/>
  <c r="L267" i="1"/>
  <c r="L268" i="1"/>
  <c r="L348" i="1"/>
  <c r="L349" i="1"/>
  <c r="I664" i="1"/>
  <c r="I669" i="1"/>
  <c r="G661" i="1"/>
  <c r="I668" i="1"/>
  <c r="C6" i="10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D18" i="2" s="1"/>
  <c r="E11" i="2"/>
  <c r="F11" i="2"/>
  <c r="I440" i="1"/>
  <c r="J12" i="1" s="1"/>
  <c r="G11" i="2" s="1"/>
  <c r="C12" i="2"/>
  <c r="D12" i="2"/>
  <c r="E12" i="2"/>
  <c r="E18" i="2" s="1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D31" i="2" s="1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C90" i="2" s="1"/>
  <c r="D87" i="2"/>
  <c r="E87" i="2"/>
  <c r="F87" i="2"/>
  <c r="C88" i="2"/>
  <c r="D88" i="2"/>
  <c r="E88" i="2"/>
  <c r="E90" i="2" s="1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E109" i="2"/>
  <c r="C110" i="2"/>
  <c r="E110" i="2"/>
  <c r="E111" i="2"/>
  <c r="C112" i="2"/>
  <c r="E112" i="2"/>
  <c r="C113" i="2"/>
  <c r="E113" i="2"/>
  <c r="D114" i="2"/>
  <c r="F114" i="2"/>
  <c r="G114" i="2"/>
  <c r="E117" i="2"/>
  <c r="C118" i="2"/>
  <c r="E118" i="2"/>
  <c r="E119" i="2"/>
  <c r="E120" i="2"/>
  <c r="C121" i="2"/>
  <c r="E122" i="2"/>
  <c r="E123" i="2"/>
  <c r="E124" i="2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I19" i="1"/>
  <c r="F32" i="1"/>
  <c r="G32" i="1"/>
  <c r="H32" i="1"/>
  <c r="I32" i="1"/>
  <c r="F50" i="1"/>
  <c r="G50" i="1"/>
  <c r="G51" i="1" s="1"/>
  <c r="H617" i="1" s="1"/>
  <c r="H50" i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F256" i="1" s="1"/>
  <c r="F270" i="1" s="1"/>
  <c r="G210" i="1"/>
  <c r="G256" i="1" s="1"/>
  <c r="G270" i="1" s="1"/>
  <c r="H210" i="1"/>
  <c r="I210" i="1"/>
  <c r="I256" i="1" s="1"/>
  <c r="I270" i="1" s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L269" i="1"/>
  <c r="F289" i="1"/>
  <c r="G289" i="1"/>
  <c r="H289" i="1"/>
  <c r="I289" i="1"/>
  <c r="I337" i="1" s="1"/>
  <c r="I351" i="1" s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H407" i="1" s="1"/>
  <c r="H643" i="1" s="1"/>
  <c r="I400" i="1"/>
  <c r="F406" i="1"/>
  <c r="G406" i="1"/>
  <c r="H406" i="1"/>
  <c r="I406" i="1"/>
  <c r="F407" i="1"/>
  <c r="G407" i="1"/>
  <c r="H644" i="1" s="1"/>
  <c r="I407" i="1"/>
  <c r="L412" i="1"/>
  <c r="L413" i="1"/>
  <c r="L414" i="1"/>
  <c r="L415" i="1"/>
  <c r="L416" i="1"/>
  <c r="L417" i="1"/>
  <c r="F418" i="1"/>
  <c r="G418" i="1"/>
  <c r="G433" i="1" s="1"/>
  <c r="H418" i="1"/>
  <c r="I418" i="1"/>
  <c r="I433" i="1" s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33" i="1"/>
  <c r="H433" i="1"/>
  <c r="J433" i="1"/>
  <c r="F445" i="1"/>
  <c r="G445" i="1"/>
  <c r="G639" i="1" s="1"/>
  <c r="H445" i="1"/>
  <c r="F451" i="1"/>
  <c r="G451" i="1"/>
  <c r="H451" i="1"/>
  <c r="I451" i="1"/>
  <c r="F459" i="1"/>
  <c r="G459" i="1"/>
  <c r="H459" i="1"/>
  <c r="F460" i="1"/>
  <c r="G460" i="1"/>
  <c r="H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F544" i="1" s="1"/>
  <c r="G523" i="1"/>
  <c r="H523" i="1"/>
  <c r="I523" i="1"/>
  <c r="J523" i="1"/>
  <c r="K523" i="1"/>
  <c r="L523" i="1"/>
  <c r="F528" i="1"/>
  <c r="G528" i="1"/>
  <c r="H528" i="1"/>
  <c r="I528" i="1"/>
  <c r="J528" i="1"/>
  <c r="K528" i="1"/>
  <c r="F533" i="1"/>
  <c r="G533" i="1"/>
  <c r="H533" i="1"/>
  <c r="I533" i="1"/>
  <c r="J533" i="1"/>
  <c r="K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G570" i="1" s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G617" i="1"/>
  <c r="G618" i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H639" i="1"/>
  <c r="G640" i="1"/>
  <c r="H640" i="1"/>
  <c r="G642" i="1"/>
  <c r="H642" i="1"/>
  <c r="G643" i="1"/>
  <c r="G648" i="1"/>
  <c r="G651" i="1"/>
  <c r="H651" i="1"/>
  <c r="J651" i="1"/>
  <c r="G652" i="1"/>
  <c r="H652" i="1"/>
  <c r="J652" i="1" s="1"/>
  <c r="G653" i="1"/>
  <c r="H653" i="1"/>
  <c r="J653" i="1" s="1"/>
  <c r="H654" i="1"/>
  <c r="J351" i="1"/>
  <c r="F191" i="1"/>
  <c r="L255" i="1"/>
  <c r="K256" i="1"/>
  <c r="K270" i="1" s="1"/>
  <c r="G163" i="2"/>
  <c r="G159" i="2"/>
  <c r="F31" i="2"/>
  <c r="C26" i="10"/>
  <c r="L327" i="1"/>
  <c r="L350" i="1"/>
  <c r="A31" i="12"/>
  <c r="A40" i="12"/>
  <c r="G161" i="2"/>
  <c r="D61" i="2"/>
  <c r="D62" i="2" s="1"/>
  <c r="E49" i="2"/>
  <c r="D18" i="13"/>
  <c r="C18" i="13" s="1"/>
  <c r="F102" i="2"/>
  <c r="D17" i="13"/>
  <c r="C17" i="13" s="1"/>
  <c r="G158" i="2"/>
  <c r="G80" i="2"/>
  <c r="F77" i="2"/>
  <c r="F80" i="2" s="1"/>
  <c r="F61" i="2"/>
  <c r="F62" i="2" s="1"/>
  <c r="C77" i="2"/>
  <c r="D49" i="2"/>
  <c r="G156" i="2"/>
  <c r="F49" i="2"/>
  <c r="F50" i="2" s="1"/>
  <c r="F18" i="2"/>
  <c r="G162" i="2"/>
  <c r="G160" i="2"/>
  <c r="G157" i="2"/>
  <c r="G155" i="2"/>
  <c r="E143" i="2"/>
  <c r="G102" i="2"/>
  <c r="E102" i="2"/>
  <c r="C102" i="2"/>
  <c r="D90" i="2"/>
  <c r="F90" i="2"/>
  <c r="E61" i="2"/>
  <c r="E62" i="2" s="1"/>
  <c r="C61" i="2"/>
  <c r="C62" i="2" s="1"/>
  <c r="D19" i="13"/>
  <c r="C19" i="13" s="1"/>
  <c r="E13" i="13"/>
  <c r="C13" i="13" s="1"/>
  <c r="I459" i="1" l="1"/>
  <c r="I460" i="1" s="1"/>
  <c r="H641" i="1" s="1"/>
  <c r="I445" i="1"/>
  <c r="G641" i="1" s="1"/>
  <c r="G644" i="1"/>
  <c r="L613" i="1"/>
  <c r="I662" i="1"/>
  <c r="L533" i="1"/>
  <c r="L528" i="1"/>
  <c r="D29" i="13"/>
  <c r="C29" i="13" s="1"/>
  <c r="D126" i="2"/>
  <c r="D127" i="2" s="1"/>
  <c r="G660" i="1"/>
  <c r="L361" i="1"/>
  <c r="C27" i="10" s="1"/>
  <c r="H660" i="1"/>
  <c r="C19" i="10"/>
  <c r="K337" i="1"/>
  <c r="K351" i="1" s="1"/>
  <c r="L289" i="1"/>
  <c r="E108" i="2"/>
  <c r="E114" i="2"/>
  <c r="H661" i="1"/>
  <c r="I661" i="1" s="1"/>
  <c r="H646" i="1"/>
  <c r="G650" i="1"/>
  <c r="C15" i="10"/>
  <c r="L246" i="1"/>
  <c r="H659" i="1" s="1"/>
  <c r="C108" i="2"/>
  <c r="D15" i="13"/>
  <c r="C15" i="13" s="1"/>
  <c r="G649" i="1"/>
  <c r="J649" i="1" s="1"/>
  <c r="L228" i="1"/>
  <c r="C109" i="2"/>
  <c r="G33" i="13"/>
  <c r="D14" i="13"/>
  <c r="C14" i="13" s="1"/>
  <c r="J648" i="1"/>
  <c r="C21" i="10"/>
  <c r="E8" i="13"/>
  <c r="C8" i="13" s="1"/>
  <c r="C11" i="10"/>
  <c r="C20" i="10"/>
  <c r="C120" i="2"/>
  <c r="D12" i="13"/>
  <c r="C12" i="13" s="1"/>
  <c r="D7" i="13"/>
  <c r="C7" i="13" s="1"/>
  <c r="D6" i="13"/>
  <c r="C6" i="13" s="1"/>
  <c r="L210" i="1"/>
  <c r="C127" i="2"/>
  <c r="C17" i="10"/>
  <c r="C111" i="2"/>
  <c r="A22" i="12"/>
  <c r="C10" i="10"/>
  <c r="F139" i="1"/>
  <c r="H51" i="1"/>
  <c r="H618" i="1" s="1"/>
  <c r="J618" i="1" s="1"/>
  <c r="E31" i="2"/>
  <c r="D50" i="2"/>
  <c r="F51" i="1"/>
  <c r="H616" i="1" s="1"/>
  <c r="J616" i="1" s="1"/>
  <c r="C31" i="2"/>
  <c r="C18" i="2"/>
  <c r="C80" i="2"/>
  <c r="E77" i="2"/>
  <c r="E80" i="2" s="1"/>
  <c r="F103" i="2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H192" i="1" s="1"/>
  <c r="G628" i="1" s="1"/>
  <c r="J628" i="1" s="1"/>
  <c r="G551" i="1"/>
  <c r="L433" i="1"/>
  <c r="G637" i="1" s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G475" i="1"/>
  <c r="H622" i="1" s="1"/>
  <c r="J622" i="1" s="1"/>
  <c r="G337" i="1"/>
  <c r="G351" i="1" s="1"/>
  <c r="D144" i="2"/>
  <c r="C23" i="10"/>
  <c r="F168" i="1"/>
  <c r="J139" i="1"/>
  <c r="D103" i="2"/>
  <c r="J637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H139" i="1"/>
  <c r="L400" i="1"/>
  <c r="C138" i="2" s="1"/>
  <c r="L392" i="1"/>
  <c r="A13" i="12"/>
  <c r="F22" i="13"/>
  <c r="H25" i="13"/>
  <c r="C103" i="2"/>
  <c r="E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F551" i="1"/>
  <c r="C35" i="10"/>
  <c r="C36" i="10" s="1"/>
  <c r="L308" i="1"/>
  <c r="D5" i="13"/>
  <c r="E16" i="13"/>
  <c r="J624" i="1"/>
  <c r="C49" i="2"/>
  <c r="J654" i="1"/>
  <c r="J644" i="1"/>
  <c r="J192" i="1"/>
  <c r="L569" i="1"/>
  <c r="I570" i="1"/>
  <c r="I544" i="1"/>
  <c r="J635" i="1"/>
  <c r="G36" i="2"/>
  <c r="G49" i="2" s="1"/>
  <c r="G50" i="2" s="1"/>
  <c r="J50" i="1"/>
  <c r="L564" i="1"/>
  <c r="L570" i="1" s="1"/>
  <c r="G544" i="1"/>
  <c r="H544" i="1"/>
  <c r="K550" i="1"/>
  <c r="F143" i="2"/>
  <c r="F144" i="2" s="1"/>
  <c r="J641" i="1" l="1"/>
  <c r="L544" i="1"/>
  <c r="K551" i="1"/>
  <c r="H663" i="1"/>
  <c r="H666" i="1" s="1"/>
  <c r="I660" i="1"/>
  <c r="G634" i="1"/>
  <c r="J634" i="1" s="1"/>
  <c r="E144" i="2"/>
  <c r="F659" i="1"/>
  <c r="F663" i="1" s="1"/>
  <c r="F666" i="1" s="1"/>
  <c r="C114" i="2"/>
  <c r="H647" i="1"/>
  <c r="J647" i="1" s="1"/>
  <c r="C28" i="10"/>
  <c r="D23" i="10" s="1"/>
  <c r="L256" i="1"/>
  <c r="L270" i="1" s="1"/>
  <c r="G631" i="1" s="1"/>
  <c r="J631" i="1" s="1"/>
  <c r="C39" i="10"/>
  <c r="C41" i="10" s="1"/>
  <c r="D39" i="10" s="1"/>
  <c r="C38" i="10"/>
  <c r="F192" i="1"/>
  <c r="G626" i="1" s="1"/>
  <c r="J626" i="1" s="1"/>
  <c r="C50" i="2"/>
  <c r="C5" i="13"/>
  <c r="C22" i="13"/>
  <c r="F33" i="13"/>
  <c r="C137" i="2"/>
  <c r="C140" i="2" s="1"/>
  <c r="C143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G630" i="1"/>
  <c r="J630" i="1" s="1"/>
  <c r="G645" i="1"/>
  <c r="G625" i="1"/>
  <c r="J51" i="1"/>
  <c r="H620" i="1" s="1"/>
  <c r="J620" i="1" s="1"/>
  <c r="H671" i="1" l="1"/>
  <c r="F671" i="1"/>
  <c r="C4" i="10" s="1"/>
  <c r="C144" i="2"/>
  <c r="D12" i="10"/>
  <c r="D11" i="10"/>
  <c r="D24" i="10"/>
  <c r="D13" i="10"/>
  <c r="D17" i="10"/>
  <c r="D18" i="10"/>
  <c r="C30" i="10"/>
  <c r="D10" i="10"/>
  <c r="D26" i="10"/>
  <c r="D15" i="10"/>
  <c r="D20" i="10"/>
  <c r="D19" i="10"/>
  <c r="D25" i="10"/>
  <c r="D21" i="10"/>
  <c r="D16" i="10"/>
  <c r="D27" i="10"/>
  <c r="D22" i="10"/>
  <c r="G636" i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H655" i="1" l="1"/>
  <c r="D28" i="10"/>
  <c r="D41" i="10"/>
  <c r="I666" i="1"/>
  <c r="I671" i="1"/>
  <c r="C7" i="10" s="1"/>
  <c r="G671" i="1"/>
  <c r="G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<sst xmlns="http://schemas.openxmlformats.org/spreadsheetml/2006/main" count="3943" uniqueCount="910">
  <si>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</si>
  <si>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</si>
  <si>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</si>
  <si>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</si>
  <si>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</si>
  <si>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</si>
  <si>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</si>
  <si>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</si>
  <si>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</si>
  <si>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</si>
  <si>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</si>
  <si>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</si>
  <si>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</si>
  <si>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</si>
  <si>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</si>
  <si>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</si>
  <si>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</si>
  <si>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</si>
  <si>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</si>
  <si>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</si>
  <si>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</si>
  <si>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</si>
  <si>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</si>
  <si>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</si>
  <si>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</si>
  <si>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</si>
  <si>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</si>
  <si>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</si>
  <si>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</si>
  <si>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</si>
  <si>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</si>
  <si>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</si>
  <si>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</si>
  <si>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</si>
  <si>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</si>
  <si>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</si>
  <si>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</si>
  <si>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</si>
  <si>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</si>
  <si>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</si>
  <si>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</si>
  <si>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</si>
  <si>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</si>
  <si>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</si>
  <si>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</si>
  <si>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</si>
  <si>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</si>
  <si>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</si>
  <si>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</si>
  <si>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</si>
  <si>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</si>
  <si>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</si>
  <si>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</si>
  <si>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</si>
  <si>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</si>
  <si>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</si>
  <si>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</si>
  <si>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</si>
  <si>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</si>
  <si>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</si>
  <si>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</si>
  <si>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</si>
  <si>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</si>
  <si>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</si>
  <si>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</si>
  <si>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</si>
  <si>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</si>
  <si>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</si>
  <si>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</si>
  <si>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</si>
  <si>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</si>
  <si>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</si>
  <si>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</si>
  <si>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</si>
  <si>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</si>
  <si>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</si>
  <si>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</si>
  <si>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</si>
  <si>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</si>
  <si>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</si>
  <si>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</si>
  <si>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</si>
  <si>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</si>
  <si>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</si>
  <si>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</si>
  <si>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</si>
  <si>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</si>
  <si>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</si>
  <si>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</si>
  <si>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</si>
  <si>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</si>
  <si>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</si>
  <si>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</si>
  <si>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</si>
  <si>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</si>
  <si>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</si>
  <si>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</si>
  <si>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</si>
  <si>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</si>
  <si>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</si>
  <si>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</si>
  <si>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</si>
  <si>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</si>
  <si>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</si>
  <si>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</si>
  <si>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</si>
  <si>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</si>
  <si>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</si>
  <si>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</si>
  <si>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</si>
  <si>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</si>
  <si>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</si>
  <si>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</si>
  <si>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</si>
  <si>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</si>
  <si>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</si>
  <si>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</si>
  <si>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</si>
  <si>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</si>
  <si>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</si>
  <si>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</si>
  <si>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</si>
  <si>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</si>
  <si>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</si>
  <si>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</si>
  <si>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</si>
  <si>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</si>
  <si>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</si>
  <si>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</si>
  <si>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</si>
  <si>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</si>
  <si>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</si>
  <si>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</si>
  <si>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</si>
  <si>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</si>
  <si>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</si>
  <si>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</si>
  <si>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</si>
  <si>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</si>
  <si>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</si>
  <si>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</si>
  <si>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</si>
  <si>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</si>
  <si>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</si>
  <si>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</si>
  <si>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</si>
  <si>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</si>
  <si>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</si>
  <si>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</si>
  <si>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</si>
  <si>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</si>
  <si>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</si>
  <si>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</si>
  <si>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</si>
  <si>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</si>
  <si>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</si>
  <si>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</si>
  <si>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</si>
  <si>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</si>
  <si>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</si>
  <si>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</si>
  <si>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</si>
  <si>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</si>
  <si>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</si>
  <si>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</si>
  <si>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</si>
  <si>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</si>
  <si>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</si>
  <si>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</si>
  <si>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</si>
  <si>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</si>
  <si>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</si>
  <si>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</si>
  <si>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</si>
  <si>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</si>
  <si>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</si>
  <si>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</si>
  <si>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</si>
  <si>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</si>
  <si>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</si>
  <si>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</si>
  <si>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</si>
  <si>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</si>
  <si>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</si>
  <si>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</si>
  <si>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</si>
  <si>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</si>
  <si>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</si>
  <si>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</si>
  <si>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</si>
  <si>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</si>
  <si>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</si>
  <si>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</si>
  <si>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</si>
  <si>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</si>
  <si>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</si>
  <si>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</si>
  <si>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</si>
  <si>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</si>
  <si>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</si>
  <si>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</si>
  <si>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</si>
  <si>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</si>
  <si>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</si>
  <si>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</si>
  <si>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</si>
  <si>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</si>
  <si>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</si>
  <si>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</si>
  <si>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</si>
  <si>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</si>
  <si>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</si>
  <si>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</si>
  <si>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</si>
  <si>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</si>
  <si>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</si>
  <si>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</si>
  <si>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</si>
  <si>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</si>
  <si>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</si>
  <si>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</si>
  <si>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</si>
  <si>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</si>
  <si>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</si>
  <si>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</si>
  <si>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</si>
  <si>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</si>
  <si>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</si>
  <si>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</si>
  <si>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</si>
  <si>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</si>
  <si>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</si>
  <si>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</si>
  <si>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</si>
  <si>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</si>
  <si>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</si>
  <si>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</si>
  <si>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</si>
  <si>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</si>
  <si>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</si>
  <si>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</si>
  <si>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</si>
  <si>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</si>
  <si>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</si>
  <si>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</si>
  <si>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</si>
  <si>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</si>
  <si>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</si>
  <si>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</si>
  <si>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</si>
  <si>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</si>
  <si>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</si>
  <si>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</si>
  <si>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</si>
  <si>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</si>
  <si>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</si>
  <si>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</si>
  <si>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</si>
  <si>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</si>
  <si>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</si>
  <si>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</si>
  <si>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</si>
  <si>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</si>
  <si>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</si>
  <si>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</si>
  <si>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</si>
  <si>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</si>
  <si>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</si>
  <si>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</si>
  <si>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</si>
  <si>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</si>
  <si>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</si>
  <si>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</si>
  <si>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</si>
  <si>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</si>
  <si>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</si>
  <si>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</si>
  <si>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</si>
  <si>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</si>
  <si>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</si>
  <si>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</si>
  <si>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</si>
  <si>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</si>
  <si>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</si>
  <si>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</si>
  <si>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</si>
  <si>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</si>
  <si>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</si>
  <si>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</si>
  <si>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</si>
  <si>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</si>
  <si>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</si>
  <si>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</si>
  <si>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</si>
  <si>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</si>
  <si>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</si>
  <si>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</si>
  <si>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</si>
  <si>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</si>
  <si>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</si>
  <si>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</si>
  <si>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</si>
  <si>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</si>
  <si>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</si>
  <si>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</si>
  <si>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</si>
  <si>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</si>
  <si>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</si>
  <si>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</si>
  <si>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</si>
  <si>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</si>
  <si>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</si>
  <si>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</si>
  <si>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</si>
  <si>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</si>
  <si>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</si>
  <si>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</si>
  <si>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</si>
  <si>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</si>
  <si>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</si>
  <si>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</si>
  <si>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</si>
  <si>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</si>
  <si>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</si>
  <si>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</si>
  <si>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</si>
  <si>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</si>
  <si>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</si>
  <si>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</si>
  <si>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</si>
  <si>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</si>
  <si>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</si>
  <si>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</si>
  <si>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</si>
  <si>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</si>
  <si>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</si>
  <si>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</si>
  <si>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</si>
  <si>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</si>
  <si>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</si>
  <si>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</si>
  <si>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</si>
  <si>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</si>
  <si>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</si>
  <si>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</si>
  <si>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</si>
  <si>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</si>
  <si>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</si>
  <si>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</si>
  <si>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</si>
  <si>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</si>
  <si>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</si>
  <si>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</si>
  <si>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</si>
  <si>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</si>
  <si>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</si>
  <si>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</si>
  <si>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</si>
  <si>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</si>
  <si>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</si>
  <si>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</si>
  <si>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</si>
  <si>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</si>
  <si>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</si>
  <si>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</si>
  <si>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</si>
  <si>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</si>
  <si>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</si>
  <si>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</si>
  <si>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</si>
  <si>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</si>
  <si>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</si>
  <si>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</si>
  <si>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</si>
  <si>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</si>
  <si>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</si>
  <si>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</si>
  <si>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</si>
  <si>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</si>
  <si>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</si>
  <si>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</si>
  <si>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</si>
  <si>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</si>
  <si>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</si>
  <si>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</si>
  <si>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</si>
  <si>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</si>
  <si>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</si>
  <si>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</si>
  <si>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</si>
  <si>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</si>
  <si>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</si>
  <si>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</si>
  <si>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</si>
  <si>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</si>
  <si>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</si>
  <si>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</si>
  <si>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</si>
  <si>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</si>
  <si>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</si>
  <si>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</si>
  <si>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</si>
  <si>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</si>
  <si>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</si>
  <si>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</si>
  <si>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</si>
  <si>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</si>
  <si>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</si>
  <si>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</si>
  <si>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</si>
  <si>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</si>
  <si>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</si>
  <si>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</si>
  <si>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</si>
  <si>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</si>
  <si>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</si>
  <si>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</si>
  <si>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</si>
  <si>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</si>
  <si>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</si>
  <si>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</si>
  <si>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</si>
  <si>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</si>
  <si>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</si>
  <si>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</si>
  <si>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</si>
  <si>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</si>
  <si>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</si>
  <si>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</si>
  <si>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</si>
  <si>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</si>
  <si>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</si>
  <si>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</si>
  <si>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</si>
  <si>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</si>
  <si>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</si>
  <si>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</si>
  <si>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</si>
  <si>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</si>
  <si>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</si>
  <si>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</si>
  <si>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</si>
  <si>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</si>
  <si>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</si>
  <si>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</si>
  <si>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</si>
  <si>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</si>
  <si>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</si>
  <si>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</si>
  <si>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</si>
  <si>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</si>
  <si>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</si>
  <si>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</si>
  <si>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</si>
  <si>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</si>
  <si>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</si>
  <si>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</si>
  <si>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</si>
  <si>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</si>
  <si>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</si>
  <si>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</si>
  <si>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</si>
  <si>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</si>
  <si>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</si>
  <si>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</si>
  <si>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</si>
  <si>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</si>
  <si>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</si>
  <si>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</si>
  <si>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</si>
  <si>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</si>
  <si>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</si>
  <si>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</si>
  <si>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</si>
  <si>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</si>
  <si>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</si>
  <si>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</si>
  <si>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</si>
  <si>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</si>
  <si>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</si>
  <si>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</si>
  <si>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</si>
  <si>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</si>
  <si>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</si>
  <si>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</si>
  <si>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</si>
  <si>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</si>
  <si>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</si>
  <si>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</si>
  <si>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</si>
  <si>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</si>
  <si>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</si>
  <si>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</si>
  <si>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</si>
  <si>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</si>
  <si>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</si>
  <si>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</si>
  <si>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</si>
  <si>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</si>
  <si>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</si>
  <si>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</si>
  <si>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</si>
  <si>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</si>
  <si>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</si>
  <si>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</si>
  <si>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</si>
  <si>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</si>
  <si>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</si>
  <si>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</si>
  <si>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</si>
  <si>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</si>
  <si>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</si>
  <si>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</si>
  <si>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</si>
  <si>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</si>
  <si>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</si>
  <si>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</si>
  <si>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</si>
  <si>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</si>
  <si>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</si>
  <si>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</si>
  <si>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</si>
  <si>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</si>
  <si>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</si>
  <si>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</si>
  <si>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</si>
  <si>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</si>
  <si>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</si>
  <si>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</si>
  <si>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</si>
  <si>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</si>
  <si>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</si>
  <si>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</si>
  <si>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</si>
  <si>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</si>
  <si>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</si>
  <si>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</si>
  <si>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</si>
  <si>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</si>
  <si>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</si>
  <si>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</si>
  <si>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</si>
  <si>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</si>
  <si>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</si>
  <si>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</si>
  <si>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</si>
  <si>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</si>
  <si>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</si>
  <si>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</si>
  <si>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</si>
  <si>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</si>
  <si>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</si>
  <si>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</si>
  <si>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</si>
  <si>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</si>
  <si>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</si>
  <si>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</si>
  <si>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</si>
  <si>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</si>
  <si>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</si>
  <si>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</si>
  <si>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</si>
  <si>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</si>
  <si>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</si>
  <si>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</si>
  <si>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</si>
  <si>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</si>
  <si>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</si>
  <si>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</si>
  <si>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</si>
  <si>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</si>
  <si>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</si>
  <si>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</si>
  <si>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</si>
  <si>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</si>
  <si>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</si>
  <si>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</si>
  <si>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</si>
  <si>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</si>
  <si>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</si>
  <si>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</si>
  <si>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</si>
  <si>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</si>
  <si>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</si>
  <si>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</si>
  <si>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</si>
  <si>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</si>
  <si>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</si>
  <si>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</si>
  <si>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</si>
  <si>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</si>
  <si>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</si>
  <si>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</si>
  <si>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</si>
  <si>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</si>
  <si>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</si>
  <si>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</si>
  <si>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</si>
  <si>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</si>
  <si>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</si>
  <si>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</si>
  <si>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</si>
  <si>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</si>
  <si>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</si>
  <si>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</si>
  <si>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</si>
  <si>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</si>
  <si>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</si>
  <si>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</si>
  <si>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</si>
  <si>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</si>
  <si>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</si>
  <si>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</si>
  <si>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</si>
  <si>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</si>
  <si>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</si>
  <si>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</si>
  <si>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</si>
  <si>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</si>
  <si>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</si>
  <si>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</si>
  <si>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</si>
  <si>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</si>
  <si>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</si>
  <si>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</si>
  <si>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</si>
  <si>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</si>
  <si>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</si>
  <si>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</si>
  <si>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</si>
  <si>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</si>
  <si>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</si>
  <si>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</si>
  <si>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</si>
  <si>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</si>
  <si>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</si>
  <si>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</si>
  <si>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</si>
  <si>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</si>
  <si>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</si>
  <si>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</si>
  <si>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</si>
  <si>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</si>
  <si>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</si>
  <si>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</si>
  <si>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</si>
  <si>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</si>
  <si>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</si>
  <si>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</si>
  <si>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</si>
  <si>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</si>
  <si>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</si>
  <si>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</si>
  <si>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</si>
  <si>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</si>
  <si>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</si>
  <si>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</si>
  <si>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</si>
  <si>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</si>
  <si>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</si>
  <si>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</si>
  <si>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</si>
  <si>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</si>
  <si>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</si>
  <si>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</si>
  <si>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</si>
  <si>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</si>
  <si>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</si>
  <si>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</si>
  <si>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</si>
  <si>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</si>
  <si>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</si>
  <si>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</si>
  <si>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</si>
  <si>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</si>
  <si>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</si>
  <si>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</si>
  <si>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</si>
  <si>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</si>
  <si>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</si>
  <si>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</si>
  <si>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</si>
  <si>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</si>
  <si>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</si>
  <si>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</si>
  <si>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</si>
  <si>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</si>
  <si>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</si>
  <si>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</si>
  <si>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</si>
  <si>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</si>
  <si>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</si>
  <si>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</si>
  <si>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</si>
  <si>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</si>
  <si>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</si>
  <si>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</si>
  <si>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</si>
  <si>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</si>
  <si>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</si>
  <si>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</si>
  <si>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</si>
  <si>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</si>
  <si>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</si>
  <si>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</si>
  <si>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</si>
  <si>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</si>
  <si>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</si>
  <si>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</si>
  <si>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</si>
  <si>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</si>
  <si>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</si>
  <si>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</si>
  <si>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</si>
  <si>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</si>
  <si>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</si>
  <si>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</si>
  <si>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</si>
  <si>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</si>
  <si>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</si>
  <si>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</si>
  <si>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</si>
  <si>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</si>
  <si>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</si>
  <si>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</si>
  <si>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</si>
  <si>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</si>
  <si>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</si>
  <si>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</si>
  <si>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</si>
  <si>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</si>
  <si>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</si>
  <si>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</si>
  <si>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</si>
  <si>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</si>
  <si>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</si>
  <si>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</si>
  <si>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</si>
  <si>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</si>
  <si>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</si>
  <si>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</si>
  <si>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</si>
  <si>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</si>
  <si>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</si>
  <si>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</si>
  <si>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</si>
  <si>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</si>
  <si>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</si>
  <si>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</si>
  <si>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</si>
  <si>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</si>
  <si>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</si>
  <si>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</si>
  <si>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</si>
  <si>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</si>
  <si>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</si>
  <si>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</si>
  <si>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</si>
  <si>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</si>
  <si>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</si>
  <si>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</si>
  <si>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</si>
  <si>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</si>
  <si>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</si>
  <si>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</si>
  <si>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</si>
  <si>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</si>
  <si>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</si>
  <si>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</si>
  <si>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</si>
  <si>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</si>
  <si>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</si>
  <si>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</si>
  <si>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</si>
  <si>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</si>
  <si>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</si>
  <si>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</si>
  <si>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</si>
  <si>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</si>
  <si>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</si>
  <si>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</si>
  <si>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</si>
  <si>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</si>
  <si>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</si>
  <si>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</si>
  <si>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</si>
  <si>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</si>
  <si>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</si>
  <si>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</si>
  <si>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</si>
  <si>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</si>
  <si>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</si>
  <si>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</si>
  <si>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</si>
  <si>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</si>
  <si>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</si>
  <si>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</si>
  <si>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</si>
  <si>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</si>
  <si>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</si>
  <si>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</si>
  <si>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</si>
  <si>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</si>
  <si>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</si>
  <si>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</si>
  <si>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</si>
  <si>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</si>
  <si>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</si>
  <si>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</si>
  <si>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</si>
  <si>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</si>
  <si>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</si>
  <si>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</si>
  <si>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</si>
  <si>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</si>
  <si>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</si>
  <si>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</si>
  <si>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</si>
  <si>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</si>
  <si>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</si>
  <si>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</si>
  <si>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</si>
  <si>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</si>
  <si>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</si>
  <si>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</si>
  <si>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</si>
  <si>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</si>
  <si>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</si>
  <si>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</si>
  <si>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</si>
  <si>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</si>
  <si>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</si>
  <si>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</si>
  <si>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</si>
  <si>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</si>
  <si>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</si>
  <si>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</si>
  <si>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</si>
  <si>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</si>
  <si>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</si>
  <si>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</si>
  <si>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</si>
  <si>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</si>
  <si>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</si>
  <si>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</si>
  <si>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</si>
  <si>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</si>
  <si>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</si>
  <si>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</si>
  <si>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</si>
  <si>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</si>
  <si>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</si>
  <si>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</si>
  <si>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</si>
  <si>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</si>
  <si>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</si>
  <si>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</si>
  <si>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</si>
  <si>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</si>
  <si>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</si>
  <si>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</si>
  <si>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</si>
  <si>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</si>
  <si>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</si>
  <si>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</si>
  <si>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</si>
  <si>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</si>
  <si>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</si>
  <si>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</si>
  <si>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</si>
  <si>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</si>
  <si>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</si>
  <si>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</si>
  <si>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</si>
  <si>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</si>
  <si>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</si>
  <si>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</si>
  <si>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</si>
  <si>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</si>
  <si>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</si>
  <si>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</si>
  <si>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</si>
  <si>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</si>
  <si>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</si>
  <si>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</si>
  <si>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</si>
  <si>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</si>
  <si>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</si>
  <si>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</si>
  <si>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</si>
  <si>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</si>
  <si>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</si>
  <si>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</si>
  <si>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</si>
  <si>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</si>
  <si>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</si>
  <si>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</si>
  <si>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</si>
  <si>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</si>
  <si>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</si>
  <si>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</si>
  <si>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</si>
  <si>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</si>
  <si>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</si>
  <si>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</si>
  <si>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</si>
  <si>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</si>
  <si>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</si>
  <si>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</si>
  <si>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NELSON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</si>
</sst>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69" sqref="H669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375</v>
      </c>
      <c r="C2" s="21">
        <v>375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76089.44-10362.94</f>
        <v>65726.5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101452.08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13795.55</v>
      </c>
      <c r="G12" s="18">
        <v>56.92</v>
      </c>
      <c r="H12" s="18"/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4409.96</v>
      </c>
      <c r="G13" s="18"/>
      <c r="H13" s="18">
        <v>14965.15</v>
      </c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83932.010000000009</v>
      </c>
      <c r="G19" s="41">
        <f>SUM(G9:G18)</f>
        <v>56.92</v>
      </c>
      <c r="H19" s="41">
        <f>SUM(H9:H18)</f>
        <v>14965.15</v>
      </c>
      <c r="I19" s="41">
        <f>SUM(I9:I18)</f>
        <v>0</v>
      </c>
      <c r="J19" s="41">
        <f>SUM(J9:J18)</f>
        <v>101452.08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56.92</v>
      </c>
      <c r="G22" s="18"/>
      <c r="H22" s="18">
        <v>13795.55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4801.01</v>
      </c>
      <c r="G24" s="18"/>
      <c r="H24" s="18">
        <v>947.01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1314.64</v>
      </c>
      <c r="G28" s="18">
        <v>56.92</v>
      </c>
      <c r="H28" s="18">
        <v>222.59</v>
      </c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6172.5700000000006</v>
      </c>
      <c r="G32" s="41">
        <f>SUM(G22:G31)</f>
        <v>56.92</v>
      </c>
      <c r="H32" s="41">
        <f>SUM(H22:H31)</f>
        <v>14965.15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40000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101452.08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37759.440000000002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77759.44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101452.08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83932.010000000009</v>
      </c>
      <c r="G51" s="41">
        <f>G50+G32</f>
        <v>56.92</v>
      </c>
      <c r="H51" s="41">
        <f>H50+H32</f>
        <v>14965.15</v>
      </c>
      <c r="I51" s="41">
        <f>I50+I32</f>
        <v>0</v>
      </c>
      <c r="J51" s="41">
        <f>J50+J32</f>
        <v>101452.08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1109639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1109639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25178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25178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422</v>
      </c>
      <c r="G95" s="18"/>
      <c r="H95" s="18"/>
      <c r="I95" s="18"/>
      <c r="J95" s="18">
        <f>19.12+51.34</f>
        <v>70.460000000000008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/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30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1441.7+4497.04</f>
        <v>5938.74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6390.74</v>
      </c>
      <c r="G110" s="41">
        <f>SUM(G95:G109)</f>
        <v>0</v>
      </c>
      <c r="H110" s="41">
        <f>SUM(H95:H109)</f>
        <v>0</v>
      </c>
      <c r="I110" s="41">
        <f>SUM(I95:I109)</f>
        <v>0</v>
      </c>
      <c r="J110" s="41">
        <f>SUM(J95:J109)</f>
        <v>70.460000000000008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1141207.74</v>
      </c>
      <c r="G111" s="41">
        <f>G59+G110</f>
        <v>0</v>
      </c>
      <c r="H111" s="41">
        <f>H59+H78+H93+H110</f>
        <v>0</v>
      </c>
      <c r="I111" s="41">
        <f>I59+I110</f>
        <v>0</v>
      </c>
      <c r="J111" s="41">
        <f>J59+J110</f>
        <v>70.460000000000008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208505.34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278445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180.66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487130.99999999994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35850.81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/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35850.81</v>
      </c>
      <c r="G135" s="41">
        <f>SUM(G122:G134)</f>
        <v>0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522981.80999999994</v>
      </c>
      <c r="G139" s="41">
        <f>G120+SUM(G135:G136)</f>
        <v>0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>
        <v>17539.439999999999</v>
      </c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15551.79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4568.7299999999996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/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20096.37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19449.46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>
        <v>10135.370000000001</v>
      </c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29584.83</v>
      </c>
      <c r="G161" s="41">
        <f>SUM(G149:G160)</f>
        <v>0</v>
      </c>
      <c r="H161" s="41">
        <f>SUM(H149:H160)</f>
        <v>57756.329999999987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29584.83</v>
      </c>
      <c r="G168" s="41">
        <f>G146+G161+SUM(G162:G167)</f>
        <v>0</v>
      </c>
      <c r="H168" s="41">
        <f>H146+H161+SUM(H162:H167)</f>
        <v>57756.329999999987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8127.13</v>
      </c>
      <c r="H178" s="18"/>
      <c r="I178" s="18"/>
      <c r="J178" s="18">
        <f>15000+15000</f>
        <v>30000</v>
      </c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8127.13</v>
      </c>
      <c r="H182" s="41">
        <f>SUM(H178:H181)</f>
        <v>0</v>
      </c>
      <c r="I182" s="41">
        <f>SUM(I178:I181)</f>
        <v>0</v>
      </c>
      <c r="J182" s="41">
        <f>SUM(J178:J181)</f>
        <v>30000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8127.13</v>
      </c>
      <c r="H191" s="41">
        <f>+H182+SUM(H187:H190)</f>
        <v>0</v>
      </c>
      <c r="I191" s="41">
        <f>I176+I182+SUM(I187:I190)</f>
        <v>0</v>
      </c>
      <c r="J191" s="41">
        <f>J182</f>
        <v>30000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1693774.38</v>
      </c>
      <c r="G192" s="47">
        <f>G111+G139+G168+G191</f>
        <v>8127.13</v>
      </c>
      <c r="H192" s="47">
        <f>H111+H139+H168+H191</f>
        <v>57756.329999999987</v>
      </c>
      <c r="I192" s="47">
        <f>I111+I139+I168+I191</f>
        <v>0</v>
      </c>
      <c r="J192" s="47">
        <f>J111+J139+J191</f>
        <v>30070.46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191530.34</v>
      </c>
      <c r="G196" s="18">
        <v>66632.97</v>
      </c>
      <c r="H196" s="18">
        <v>28879.9</v>
      </c>
      <c r="I196" s="18">
        <v>8448.2900000000009</v>
      </c>
      <c r="J196" s="18">
        <v>1918.21</v>
      </c>
      <c r="K196" s="18"/>
      <c r="L196" s="19">
        <f>SUM(F196:K196)</f>
        <v>297409.71000000002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41340.93</v>
      </c>
      <c r="G197" s="18">
        <v>27511.55</v>
      </c>
      <c r="H197" s="18">
        <v>73888.58</v>
      </c>
      <c r="I197" s="18">
        <v>1035.1199999999999</v>
      </c>
      <c r="J197" s="18"/>
      <c r="K197" s="18"/>
      <c r="L197" s="19">
        <f>SUM(F197:K197)</f>
        <v>143776.18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180+1900</f>
        <v>2080</v>
      </c>
      <c r="G199" s="18">
        <f>34.74+385.25</f>
        <v>419.99</v>
      </c>
      <c r="H199" s="18"/>
      <c r="I199" s="18"/>
      <c r="J199" s="18"/>
      <c r="K199" s="18"/>
      <c r="L199" s="19">
        <f>SUM(F199:K199)</f>
        <v>2499.9899999999998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5809.97</v>
      </c>
      <c r="G201" s="18">
        <v>465.33</v>
      </c>
      <c r="H201" s="18">
        <f>50+11619.95+11877.96+16369.57+5565.57</f>
        <v>45483.049999999996</v>
      </c>
      <c r="I201" s="18">
        <f>148.33+157.79</f>
        <v>306.12</v>
      </c>
      <c r="J201" s="18"/>
      <c r="K201" s="18"/>
      <c r="L201" s="19">
        <f t="shared" ref="L201:L207" si="0">SUM(F201:K201)</f>
        <v>52064.47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/>
      <c r="G202" s="18">
        <f>53.62+390</f>
        <v>443.62</v>
      </c>
      <c r="H202" s="18">
        <f>5662.11</f>
        <v>5662.11</v>
      </c>
      <c r="I202" s="18">
        <f>577.28+2639.74</f>
        <v>3217.0199999999995</v>
      </c>
      <c r="J202" s="18"/>
      <c r="K202" s="18"/>
      <c r="L202" s="19">
        <f t="shared" si="0"/>
        <v>9322.75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f>1186.5+1750</f>
        <v>2936.5</v>
      </c>
      <c r="G203" s="18">
        <f>94.93+140</f>
        <v>234.93</v>
      </c>
      <c r="H203" s="18">
        <f>217.69+100+5250+100+70100</f>
        <v>75767.69</v>
      </c>
      <c r="I203" s="18">
        <f>275.71</f>
        <v>275.70999999999998</v>
      </c>
      <c r="J203" s="18"/>
      <c r="K203" s="18">
        <v>8</v>
      </c>
      <c r="L203" s="19">
        <f t="shared" si="0"/>
        <v>79222.83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57206.04</v>
      </c>
      <c r="G204" s="18">
        <v>29293.11</v>
      </c>
      <c r="H204" s="18">
        <v>10471.290000000001</v>
      </c>
      <c r="I204" s="18">
        <v>1653.37</v>
      </c>
      <c r="J204" s="18"/>
      <c r="K204" s="18">
        <v>79</v>
      </c>
      <c r="L204" s="19">
        <f t="shared" si="0"/>
        <v>98702.81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4127.1099999999997</v>
      </c>
      <c r="G206" s="18">
        <v>394.85</v>
      </c>
      <c r="H206" s="18">
        <v>30887.86</v>
      </c>
      <c r="I206" s="18">
        <v>20823.3</v>
      </c>
      <c r="J206" s="18">
        <v>726.99</v>
      </c>
      <c r="K206" s="18"/>
      <c r="L206" s="19">
        <f t="shared" si="0"/>
        <v>56960.109999999993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26482+19388.52+1262.66+21690</f>
        <v>68823.180000000008</v>
      </c>
      <c r="I207" s="18"/>
      <c r="J207" s="18"/>
      <c r="K207" s="18"/>
      <c r="L207" s="19">
        <f t="shared" si="0"/>
        <v>68823.180000000008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>
        <v>157</v>
      </c>
      <c r="I208" s="18"/>
      <c r="J208" s="18"/>
      <c r="K208" s="18"/>
      <c r="L208" s="19">
        <f>SUM(F208:K208)</f>
        <v>157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305030.88999999996</v>
      </c>
      <c r="G210" s="41">
        <f t="shared" si="1"/>
        <v>125396.35</v>
      </c>
      <c r="H210" s="41">
        <f t="shared" si="1"/>
        <v>340020.66</v>
      </c>
      <c r="I210" s="41">
        <f t="shared" si="1"/>
        <v>35758.929999999993</v>
      </c>
      <c r="J210" s="41">
        <f t="shared" si="1"/>
        <v>2645.2</v>
      </c>
      <c r="K210" s="41">
        <f t="shared" si="1"/>
        <v>87</v>
      </c>
      <c r="L210" s="41">
        <f t="shared" si="1"/>
        <v>808939.03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>
        <v>84940.47</v>
      </c>
      <c r="I214" s="18"/>
      <c r="J214" s="18"/>
      <c r="K214" s="18"/>
      <c r="L214" s="19">
        <f>SUM(F214:K214)</f>
        <v>84940.47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>
        <f>56810+131850.72</f>
        <v>188660.72</v>
      </c>
      <c r="I215" s="18"/>
      <c r="J215" s="18"/>
      <c r="K215" s="18"/>
      <c r="L215" s="19">
        <f>SUM(F215:K215)</f>
        <v>188660.72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f>13242+10845</f>
        <v>24087</v>
      </c>
      <c r="I225" s="18"/>
      <c r="J225" s="18"/>
      <c r="K225" s="18"/>
      <c r="L225" s="19">
        <f t="shared" si="2"/>
        <v>24087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297688.19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297688.19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f>305064.43</f>
        <v>305064.43</v>
      </c>
      <c r="I232" s="18"/>
      <c r="J232" s="18"/>
      <c r="K232" s="18"/>
      <c r="L232" s="19">
        <f>SUM(F232:K232)</f>
        <v>305064.43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f>188899.76+1400</f>
        <v>190299.76</v>
      </c>
      <c r="I233" s="18"/>
      <c r="J233" s="18"/>
      <c r="K233" s="18"/>
      <c r="L233" s="19">
        <f>SUM(F233:K233)</f>
        <v>190299.76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>
        <v>192.45</v>
      </c>
      <c r="I237" s="18"/>
      <c r="J237" s="18"/>
      <c r="K237" s="18"/>
      <c r="L237" s="19">
        <f t="shared" ref="L237:L243" si="4">SUM(F237:K237)</f>
        <v>192.45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13241+10845</f>
        <v>24086</v>
      </c>
      <c r="I243" s="18"/>
      <c r="J243" s="18"/>
      <c r="K243" s="18"/>
      <c r="L243" s="19">
        <f t="shared" si="4"/>
        <v>24086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519642.64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519642.64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0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305030.88999999996</v>
      </c>
      <c r="G256" s="41">
        <f t="shared" si="8"/>
        <v>125396.35</v>
      </c>
      <c r="H256" s="41">
        <f t="shared" si="8"/>
        <v>1157351.49</v>
      </c>
      <c r="I256" s="41">
        <f t="shared" si="8"/>
        <v>35758.929999999993</v>
      </c>
      <c r="J256" s="41">
        <f t="shared" si="8"/>
        <v>2645.2</v>
      </c>
      <c r="K256" s="41">
        <f t="shared" si="8"/>
        <v>87</v>
      </c>
      <c r="L256" s="41">
        <f t="shared" si="8"/>
        <v>1626269.8599999999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8127.13</v>
      </c>
      <c r="L262" s="19">
        <f>SUM(F262:K262)</f>
        <v>8127.13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f>15000+15000</f>
        <v>30000</v>
      </c>
      <c r="L265" s="19">
        <f t="shared" si="9"/>
        <v>30000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38127.129999999997</v>
      </c>
      <c r="L269" s="41">
        <f t="shared" si="9"/>
        <v>38127.129999999997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305030.88999999996</v>
      </c>
      <c r="G270" s="42">
        <f t="shared" si="11"/>
        <v>125396.35</v>
      </c>
      <c r="H270" s="42">
        <f t="shared" si="11"/>
        <v>1157351.49</v>
      </c>
      <c r="I270" s="42">
        <f t="shared" si="11"/>
        <v>35758.929999999993</v>
      </c>
      <c r="J270" s="42">
        <f t="shared" si="11"/>
        <v>2645.2</v>
      </c>
      <c r="K270" s="42">
        <f t="shared" si="11"/>
        <v>38214.129999999997</v>
      </c>
      <c r="L270" s="42">
        <f t="shared" si="11"/>
        <v>1664396.9899999998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12709.5</v>
      </c>
      <c r="G275" s="18">
        <f>972.26+0.48+0.49+44.49</f>
        <v>1017.72</v>
      </c>
      <c r="H275" s="18">
        <f>70</f>
        <v>70</v>
      </c>
      <c r="I275" s="18">
        <f>59.32+1890.11+96.55+1117.21</f>
        <v>3163.1899999999996</v>
      </c>
      <c r="J275" s="18">
        <f>8340.6+98.15</f>
        <v>8438.75</v>
      </c>
      <c r="K275" s="18"/>
      <c r="L275" s="19">
        <f>SUM(F275:K275)</f>
        <v>25399.16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>
        <f>6490.8</f>
        <v>6490.8</v>
      </c>
      <c r="I276" s="18">
        <f>498.63+5943.23+4426.84</f>
        <v>10868.7</v>
      </c>
      <c r="J276" s="18"/>
      <c r="K276" s="18"/>
      <c r="L276" s="19">
        <f>SUM(F276:K276)</f>
        <v>17359.5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>
        <v>1244.95</v>
      </c>
      <c r="K278" s="18"/>
      <c r="L278" s="19">
        <f>SUM(F278:K278)</f>
        <v>1244.95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>
        <v>332.12</v>
      </c>
      <c r="J280" s="18"/>
      <c r="K280" s="18"/>
      <c r="L280" s="19">
        <f t="shared" ref="L280:L286" si="12">SUM(F280:K280)</f>
        <v>332.12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>
        <f>2199.55+350+1856.45+3684</f>
        <v>8090</v>
      </c>
      <c r="I281" s="18">
        <f>371.39+460.3+2040</f>
        <v>2871.69</v>
      </c>
      <c r="J281" s="18"/>
      <c r="K281" s="18"/>
      <c r="L281" s="19">
        <f t="shared" si="12"/>
        <v>10961.69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>
        <f>995</f>
        <v>995</v>
      </c>
      <c r="I282" s="18"/>
      <c r="J282" s="18"/>
      <c r="K282" s="18"/>
      <c r="L282" s="19">
        <f t="shared" si="12"/>
        <v>995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v>1463.91</v>
      </c>
      <c r="L284" s="19">
        <f t="shared" si="12"/>
        <v>1463.91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12709.5</v>
      </c>
      <c r="G289" s="42">
        <f t="shared" si="13"/>
        <v>1017.72</v>
      </c>
      <c r="H289" s="42">
        <f t="shared" si="13"/>
        <v>15645.8</v>
      </c>
      <c r="I289" s="42">
        <f t="shared" si="13"/>
        <v>17235.7</v>
      </c>
      <c r="J289" s="42">
        <f t="shared" si="13"/>
        <v>9683.7000000000007</v>
      </c>
      <c r="K289" s="42">
        <f t="shared" si="13"/>
        <v>1463.91</v>
      </c>
      <c r="L289" s="41">
        <f t="shared" si="13"/>
        <v>57756.330000000009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12709.5</v>
      </c>
      <c r="G337" s="41">
        <f t="shared" si="20"/>
        <v>1017.72</v>
      </c>
      <c r="H337" s="41">
        <f t="shared" si="20"/>
        <v>15645.8</v>
      </c>
      <c r="I337" s="41">
        <f t="shared" si="20"/>
        <v>17235.7</v>
      </c>
      <c r="J337" s="41">
        <f t="shared" si="20"/>
        <v>9683.7000000000007</v>
      </c>
      <c r="K337" s="41">
        <f t="shared" si="20"/>
        <v>1463.91</v>
      </c>
      <c r="L337" s="41">
        <f t="shared" si="20"/>
        <v>57756.330000000009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12709.5</v>
      </c>
      <c r="G351" s="41">
        <f>G337</f>
        <v>1017.72</v>
      </c>
      <c r="H351" s="41">
        <f>H337</f>
        <v>15645.8</v>
      </c>
      <c r="I351" s="41">
        <f>I337</f>
        <v>17235.7</v>
      </c>
      <c r="J351" s="41">
        <f>J337</f>
        <v>9683.7000000000007</v>
      </c>
      <c r="K351" s="47">
        <f>K337+K350</f>
        <v>1463.91</v>
      </c>
      <c r="L351" s="41">
        <f>L337+L350</f>
        <v>57756.330000000009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5551.61</v>
      </c>
      <c r="G357" s="18">
        <f>424.72+126.32</f>
        <v>551.04</v>
      </c>
      <c r="H357" s="18">
        <v>1974.8</v>
      </c>
      <c r="I357" s="18">
        <v>5.94</v>
      </c>
      <c r="J357" s="18">
        <v>43.74</v>
      </c>
      <c r="K357" s="18"/>
      <c r="L357" s="13">
        <f>SUM(F357:K357)</f>
        <v>8127.1299999999992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5551.61</v>
      </c>
      <c r="G361" s="47">
        <f t="shared" si="22"/>
        <v>551.04</v>
      </c>
      <c r="H361" s="47">
        <f t="shared" si="22"/>
        <v>1974.8</v>
      </c>
      <c r="I361" s="47">
        <f t="shared" si="22"/>
        <v>5.94</v>
      </c>
      <c r="J361" s="47">
        <f t="shared" si="22"/>
        <v>43.74</v>
      </c>
      <c r="K361" s="47">
        <f t="shared" si="22"/>
        <v>0</v>
      </c>
      <c r="L361" s="47">
        <f t="shared" si="22"/>
        <v>8127.1299999999992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/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5.94</v>
      </c>
      <c r="G367" s="63"/>
      <c r="H367" s="63"/>
      <c r="I367" s="56">
        <f>SUM(F367:H367)</f>
        <v>5.94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5.94</v>
      </c>
      <c r="G368" s="47">
        <f>SUM(G366:G367)</f>
        <v>0</v>
      </c>
      <c r="H368" s="47">
        <f>SUM(H366:H367)</f>
        <v>0</v>
      </c>
      <c r="I368" s="47">
        <f>SUM(I366:I367)</f>
        <v>5.94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>
        <v>15000</v>
      </c>
      <c r="H388" s="18">
        <v>19.12</v>
      </c>
      <c r="I388" s="18"/>
      <c r="J388" s="24" t="s">
        <v>289</v>
      </c>
      <c r="K388" s="24" t="s">
        <v>289</v>
      </c>
      <c r="L388" s="56">
        <f t="shared" si="25"/>
        <v>15019.12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15000</v>
      </c>
      <c r="H392" s="139">
        <f>SUM(H386:H391)</f>
        <v>19.12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15019.12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>
        <v>15000</v>
      </c>
      <c r="H397" s="18">
        <v>51.34</v>
      </c>
      <c r="I397" s="18"/>
      <c r="J397" s="24" t="s">
        <v>289</v>
      </c>
      <c r="K397" s="24" t="s">
        <v>289</v>
      </c>
      <c r="L397" s="56">
        <f t="shared" si="26"/>
        <v>15051.34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15000</v>
      </c>
      <c r="H400" s="47">
        <f>SUM(H394:H399)</f>
        <v>51.34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15051.34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30000</v>
      </c>
      <c r="H407" s="47">
        <f>H392+H400+H406</f>
        <v>70.460000000000008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30070.46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>
        <v>29240.12</v>
      </c>
      <c r="G439" s="18">
        <v>72211.960000000006</v>
      </c>
      <c r="H439" s="18"/>
      <c r="I439" s="56">
        <f t="shared" si="33"/>
        <v>101452.08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29240.12</v>
      </c>
      <c r="G445" s="13">
        <f>SUM(G438:G444)</f>
        <v>72211.960000000006</v>
      </c>
      <c r="H445" s="13">
        <f>SUM(H438:H444)</f>
        <v>0</v>
      </c>
      <c r="I445" s="13">
        <f>SUM(I438:I444)</f>
        <v>101452.08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29240.12</v>
      </c>
      <c r="G458" s="18">
        <v>72211.960000000006</v>
      </c>
      <c r="H458" s="18"/>
      <c r="I458" s="56">
        <f t="shared" si="34"/>
        <v>101452.08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29240.12</v>
      </c>
      <c r="G459" s="83">
        <f>SUM(G453:G458)</f>
        <v>72211.960000000006</v>
      </c>
      <c r="H459" s="83">
        <f>SUM(H453:H458)</f>
        <v>0</v>
      </c>
      <c r="I459" s="83">
        <f>SUM(I453:I458)</f>
        <v>101452.08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29240.12</v>
      </c>
      <c r="G460" s="42">
        <f>G451+G459</f>
        <v>72211.960000000006</v>
      </c>
      <c r="H460" s="42">
        <f>H451+H459</f>
        <v>0</v>
      </c>
      <c r="I460" s="42">
        <f>I451+I459</f>
        <v>101452.08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48382.05</v>
      </c>
      <c r="G464" s="18"/>
      <c r="H464" s="18"/>
      <c r="I464" s="18"/>
      <c r="J464" s="18">
        <v>71381.62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1693774.38</v>
      </c>
      <c r="G467" s="18">
        <v>8127.13</v>
      </c>
      <c r="H467" s="18">
        <v>57756.33</v>
      </c>
      <c r="I467" s="18"/>
      <c r="J467" s="18">
        <f>15000+15000+19.12+51.34</f>
        <v>30070.46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1693774.38</v>
      </c>
      <c r="G469" s="53">
        <f>SUM(G467:G468)</f>
        <v>8127.13</v>
      </c>
      <c r="H469" s="53">
        <f>SUM(H467:H468)</f>
        <v>57756.33</v>
      </c>
      <c r="I469" s="53">
        <f>SUM(I467:I468)</f>
        <v>0</v>
      </c>
      <c r="J469" s="53">
        <f>SUM(J467:J468)</f>
        <v>30070.46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1664396.99</v>
      </c>
      <c r="G471" s="18">
        <v>8127.13</v>
      </c>
      <c r="H471" s="18">
        <v>57756.33</v>
      </c>
      <c r="I471" s="18"/>
      <c r="J471" s="18"/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1664396.99</v>
      </c>
      <c r="G473" s="53">
        <f>SUM(G471:G472)</f>
        <v>8127.13</v>
      </c>
      <c r="H473" s="53">
        <f>SUM(H471:H472)</f>
        <v>57756.33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77759.439999999944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101452.07999999999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22949.94+18390.99</f>
        <v>41340.93</v>
      </c>
      <c r="G520" s="18">
        <f>24116.8+499+57+73.15+2619.64+145.96</f>
        <v>27511.55</v>
      </c>
      <c r="H520" s="18">
        <f>63801.99+225+9861.59+6490.8</f>
        <v>80379.38</v>
      </c>
      <c r="I520" s="18">
        <f>1035.12+498.63+5943.23+4426.84</f>
        <v>11903.82</v>
      </c>
      <c r="J520" s="18"/>
      <c r="K520" s="18"/>
      <c r="L520" s="88">
        <f>SUM(F520:K520)</f>
        <v>161135.67999999999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>
        <v>188660.72</v>
      </c>
      <c r="I521" s="18"/>
      <c r="J521" s="18"/>
      <c r="K521" s="18"/>
      <c r="L521" s="88">
        <f>SUM(F521:K521)</f>
        <v>188660.72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190299.76</v>
      </c>
      <c r="I522" s="18"/>
      <c r="J522" s="18"/>
      <c r="K522" s="18"/>
      <c r="L522" s="88">
        <f>SUM(F522:K522)</f>
        <v>190299.76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41340.93</v>
      </c>
      <c r="G523" s="108">
        <f t="shared" ref="G523:L523" si="36">SUM(G520:G522)</f>
        <v>27511.55</v>
      </c>
      <c r="H523" s="108">
        <f t="shared" si="36"/>
        <v>459339.86</v>
      </c>
      <c r="I523" s="108">
        <f t="shared" si="36"/>
        <v>11903.82</v>
      </c>
      <c r="J523" s="108">
        <f t="shared" si="36"/>
        <v>0</v>
      </c>
      <c r="K523" s="108">
        <f t="shared" si="36"/>
        <v>0</v>
      </c>
      <c r="L523" s="89">
        <f t="shared" si="36"/>
        <v>540096.16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f>716.72+11877.96+16369.57+5565.57+2040</f>
        <v>36569.82</v>
      </c>
      <c r="I525" s="18"/>
      <c r="J525" s="18"/>
      <c r="K525" s="18"/>
      <c r="L525" s="88">
        <f>SUM(F525:K525)</f>
        <v>36569.82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f>192.45</f>
        <v>192.45</v>
      </c>
      <c r="I527" s="18"/>
      <c r="J527" s="18"/>
      <c r="K527" s="18"/>
      <c r="L527" s="88">
        <f>SUM(F527:K527)</f>
        <v>192.45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36762.269999999997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36762.269999999997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6444</v>
      </c>
      <c r="I530" s="18"/>
      <c r="J530" s="18"/>
      <c r="K530" s="18">
        <v>696.87</v>
      </c>
      <c r="L530" s="88">
        <f>SUM(F530:K530)</f>
        <v>7140.87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6444</v>
      </c>
      <c r="I533" s="89">
        <f t="shared" si="38"/>
        <v>0</v>
      </c>
      <c r="J533" s="89">
        <f t="shared" si="38"/>
        <v>0</v>
      </c>
      <c r="K533" s="89">
        <f t="shared" si="38"/>
        <v>696.87</v>
      </c>
      <c r="L533" s="89">
        <f t="shared" si="38"/>
        <v>7140.87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f>19388.52</f>
        <v>19388.52</v>
      </c>
      <c r="I540" s="18"/>
      <c r="J540" s="18"/>
      <c r="K540" s="18"/>
      <c r="L540" s="88">
        <f>SUM(F540:K540)</f>
        <v>19388.52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19388.52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19388.52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41340.93</v>
      </c>
      <c r="G544" s="89">
        <f t="shared" ref="G544:L544" si="41">G523+G528+G533+G538+G543</f>
        <v>27511.55</v>
      </c>
      <c r="H544" s="89">
        <f t="shared" si="41"/>
        <v>521934.65</v>
      </c>
      <c r="I544" s="89">
        <f t="shared" si="41"/>
        <v>11903.82</v>
      </c>
      <c r="J544" s="89">
        <f t="shared" si="41"/>
        <v>0</v>
      </c>
      <c r="K544" s="89">
        <f t="shared" si="41"/>
        <v>696.87</v>
      </c>
      <c r="L544" s="89">
        <f t="shared" si="41"/>
        <v>603387.82000000007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161135.67999999999</v>
      </c>
      <c r="G548" s="87">
        <f>L525</f>
        <v>36569.82</v>
      </c>
      <c r="H548" s="87">
        <f>L530</f>
        <v>7140.87</v>
      </c>
      <c r="I548" s="87">
        <f>L535</f>
        <v>0</v>
      </c>
      <c r="J548" s="87">
        <f>L540</f>
        <v>19388.52</v>
      </c>
      <c r="K548" s="87">
        <f>SUM(F548:J548)</f>
        <v>224234.88999999998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188660.72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188660.72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190299.76</v>
      </c>
      <c r="G550" s="87">
        <f>L527</f>
        <v>192.45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190492.21000000002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540096.16</v>
      </c>
      <c r="G551" s="89">
        <f t="shared" si="42"/>
        <v>36762.269999999997</v>
      </c>
      <c r="H551" s="89">
        <f t="shared" si="42"/>
        <v>7140.87</v>
      </c>
      <c r="I551" s="89">
        <f t="shared" si="42"/>
        <v>0</v>
      </c>
      <c r="J551" s="89">
        <f t="shared" si="42"/>
        <v>19388.52</v>
      </c>
      <c r="K551" s="89">
        <f t="shared" si="42"/>
        <v>603387.82000000007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>
        <v>84940.47</v>
      </c>
      <c r="H574" s="18">
        <v>305064.43</v>
      </c>
      <c r="I574" s="87">
        <f>SUM(F574:H574)</f>
        <v>390004.9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f>63801.99+9861.59</f>
        <v>73663.58</v>
      </c>
      <c r="G578" s="18">
        <v>56810</v>
      </c>
      <c r="H578" s="18">
        <v>188899.76</v>
      </c>
      <c r="I578" s="87">
        <f t="shared" si="47"/>
        <v>319373.34000000003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>
        <v>131850.72</v>
      </c>
      <c r="H579" s="18"/>
      <c r="I579" s="87">
        <f t="shared" si="47"/>
        <v>131850.72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225</v>
      </c>
      <c r="G581" s="18"/>
      <c r="H581" s="18">
        <v>1400</v>
      </c>
      <c r="I581" s="87">
        <f t="shared" si="47"/>
        <v>1625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26482</v>
      </c>
      <c r="I590" s="18">
        <v>13242</v>
      </c>
      <c r="J590" s="18">
        <v>13241</v>
      </c>
      <c r="K590" s="104">
        <f t="shared" ref="K590:K596" si="48">SUM(H590:J590)</f>
        <v>52965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19388.52</v>
      </c>
      <c r="I591" s="18"/>
      <c r="J591" s="18"/>
      <c r="K591" s="104">
        <f t="shared" si="48"/>
        <v>19388.52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1262.6600000000001</v>
      </c>
      <c r="I594" s="18"/>
      <c r="J594" s="18"/>
      <c r="K594" s="104">
        <f t="shared" si="48"/>
        <v>1262.6600000000001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>
        <v>21690</v>
      </c>
      <c r="I596" s="18">
        <v>10845</v>
      </c>
      <c r="J596" s="18">
        <v>10845</v>
      </c>
      <c r="K596" s="104">
        <f t="shared" si="48"/>
        <v>43380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68823.180000000008</v>
      </c>
      <c r="I597" s="108">
        <f>SUM(I590:I596)</f>
        <v>24087</v>
      </c>
      <c r="J597" s="108">
        <f>SUM(J590:J596)</f>
        <v>24086</v>
      </c>
      <c r="K597" s="108">
        <f>SUM(K590:K596)</f>
        <v>116996.18000000001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12328.9</v>
      </c>
      <c r="I603" s="18"/>
      <c r="J603" s="18"/>
      <c r="K603" s="104">
        <f>SUM(H603:J603)</f>
        <v>12328.9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12328.9</v>
      </c>
      <c r="I604" s="108">
        <f>SUM(I601:I603)</f>
        <v>0</v>
      </c>
      <c r="J604" s="108">
        <f>SUM(J601:J603)</f>
        <v>0</v>
      </c>
      <c r="K604" s="108">
        <f>SUM(K601:K603)</f>
        <v>12328.9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1900</v>
      </c>
      <c r="G610" s="18">
        <f>145.35+233.25+6.65</f>
        <v>385.25</v>
      </c>
      <c r="H610" s="18"/>
      <c r="I610" s="18"/>
      <c r="J610" s="18"/>
      <c r="K610" s="18"/>
      <c r="L610" s="88">
        <f>SUM(F610:K610)</f>
        <v>2285.25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1900</v>
      </c>
      <c r="G613" s="108">
        <f t="shared" si="49"/>
        <v>385.25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2285.25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83932.010000000009</v>
      </c>
      <c r="H616" s="109">
        <f>SUM(F51)</f>
        <v>83932.010000000009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56.92</v>
      </c>
      <c r="H617" s="109">
        <f>SUM(G51)</f>
        <v>56.92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14965.15</v>
      </c>
      <c r="H618" s="109">
        <f>SUM(H51)</f>
        <v>14965.15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101452.08</v>
      </c>
      <c r="H620" s="109">
        <f>SUM(J51)</f>
        <v>101452.08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77759.44</v>
      </c>
      <c r="H621" s="109">
        <f>F475</f>
        <v>77759.439999999944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101452.08</v>
      </c>
      <c r="H625" s="109">
        <f>J475</f>
        <v>101452.07999999999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1693774.38</v>
      </c>
      <c r="H626" s="104">
        <f>SUM(F467)</f>
        <v>1693774.38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8127.13</v>
      </c>
      <c r="H627" s="104">
        <f>SUM(G467)</f>
        <v>8127.13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57756.329999999987</v>
      </c>
      <c r="H628" s="104">
        <f>SUM(H467)</f>
        <v>57756.33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30070.46</v>
      </c>
      <c r="H630" s="104">
        <f>SUM(J467)</f>
        <v>30070.46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1664396.9899999998</v>
      </c>
      <c r="H631" s="104">
        <f>SUM(F471)</f>
        <v>1664396.99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57756.330000000009</v>
      </c>
      <c r="H632" s="104">
        <f>SUM(H471)</f>
        <v>57756.33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5.94</v>
      </c>
      <c r="H633" s="104">
        <f>I368</f>
        <v>5.94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8127.1299999999992</v>
      </c>
      <c r="H634" s="104">
        <f>SUM(G471)</f>
        <v>8127.13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30070.46</v>
      </c>
      <c r="H636" s="164">
        <f>SUM(J467)</f>
        <v>30070.46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29240.12</v>
      </c>
      <c r="H638" s="104">
        <f>SUM(F460)</f>
        <v>29240.12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72211.960000000006</v>
      </c>
      <c r="H639" s="104">
        <f>SUM(G460)</f>
        <v>72211.960000000006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101452.08</v>
      </c>
      <c r="H641" s="104">
        <f>SUM(I460)</f>
        <v>101452.08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70.460000000000008</v>
      </c>
      <c r="H643" s="104">
        <f>H407</f>
        <v>70.460000000000008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30000</v>
      </c>
      <c r="H644" s="104">
        <f>G407</f>
        <v>30000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30070.46</v>
      </c>
      <c r="H645" s="104">
        <f>L407</f>
        <v>30070.46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116996.18000000001</v>
      </c>
      <c r="H646" s="104">
        <f>L207+L225+L243</f>
        <v>116996.18000000001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12328.9</v>
      </c>
      <c r="H647" s="104">
        <f>(J256+J337)-(J254+J335)</f>
        <v>12328.900000000001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68823.180000000008</v>
      </c>
      <c r="H648" s="104">
        <f>H597</f>
        <v>68823.180000000008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24087</v>
      </c>
      <c r="H649" s="104">
        <f>I597</f>
        <v>24087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24086</v>
      </c>
      <c r="H650" s="104">
        <f>J597</f>
        <v>24086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8127.13</v>
      </c>
      <c r="H651" s="104">
        <f>K262+K344</f>
        <v>8127.13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30000</v>
      </c>
      <c r="H654" s="104">
        <f>K265+K346</f>
        <v>30000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874822.49</v>
      </c>
      <c r="G659" s="19">
        <f>(L228+L308+L358)</f>
        <v>297688.19</v>
      </c>
      <c r="H659" s="19">
        <f>(L246+L327+L359)</f>
        <v>519642.64</v>
      </c>
      <c r="I659" s="19">
        <f>SUM(F659:H659)</f>
        <v>1692153.3199999998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0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0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68823.180000000008</v>
      </c>
      <c r="G661" s="19">
        <f>(L225+L305)-(J225+J305)</f>
        <v>24087</v>
      </c>
      <c r="H661" s="19">
        <f>(L243+L324)-(J243+J324)</f>
        <v>24086</v>
      </c>
      <c r="I661" s="19">
        <f>SUM(F661:H661)</f>
        <v>116996.18000000001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88502.73</v>
      </c>
      <c r="G662" s="200">
        <f>SUM(G574:G586)+SUM(I601:I603)+L611</f>
        <v>273601.19</v>
      </c>
      <c r="H662" s="200">
        <f>SUM(H574:H586)+SUM(J601:J603)+L612</f>
        <v>495364.19</v>
      </c>
      <c r="I662" s="19">
        <f>SUM(F662:H662)</f>
        <v>857468.11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717496.58</v>
      </c>
      <c r="G663" s="19">
        <f>G659-SUM(G660:G662)</f>
        <v>0</v>
      </c>
      <c r="H663" s="19">
        <f>H659-SUM(H660:H662)</f>
        <v>192.45000000001164</v>
      </c>
      <c r="I663" s="19">
        <f>I659-SUM(I660:I662)</f>
        <v>717689.0299999998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24.99</v>
      </c>
      <c r="G664" s="249"/>
      <c r="H664" s="249"/>
      <c r="I664" s="19">
        <f>SUM(F664:H664)</f>
        <v>24.99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28711.35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28719.05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>
        <v>-192.45</v>
      </c>
      <c r="I668" s="19">
        <f>SUM(F668:H668)</f>
        <v>-192.45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28711.35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28711.35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38" sqref="C38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NELSON SCHOOL DISTRICT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204239.84</v>
      </c>
      <c r="C9" s="230">
        <f>'DOE25'!G196+'DOE25'!G214+'DOE25'!G232+'DOE25'!G275+'DOE25'!G294+'DOE25'!G313</f>
        <v>67650.69</v>
      </c>
    </row>
    <row r="10" spans="1:3">
      <c r="A10" t="s">
        <v>779</v>
      </c>
      <c r="B10" s="241">
        <v>191530.34</v>
      </c>
      <c r="C10" s="241">
        <v>63440.9</v>
      </c>
    </row>
    <row r="11" spans="1:3">
      <c r="A11" t="s">
        <v>780</v>
      </c>
      <c r="B11" s="241">
        <v>12709.5</v>
      </c>
      <c r="C11" s="241">
        <v>4209.79</v>
      </c>
    </row>
    <row r="12" spans="1:3">
      <c r="A12" t="s">
        <v>781</v>
      </c>
      <c r="B12" s="241"/>
      <c r="C12" s="241"/>
    </row>
    <row r="13" spans="1:3">
      <c r="A13" t="str">
        <f>IF(B9=B13,IF(C9=C13,"Check Total OK","Check Total Error"),"Check Total Error")</f>
        <v>Check Total OK</v>
      </c>
      <c r="B13" s="232">
        <f>SUM(B10:B12)</f>
        <v>204239.84</v>
      </c>
      <c r="C13" s="232">
        <f>SUM(C10:C12)</f>
        <v>67650.69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41340.93</v>
      </c>
      <c r="C18" s="230">
        <f>'DOE25'!G197+'DOE25'!G215+'DOE25'!G233+'DOE25'!G276+'DOE25'!G295+'DOE25'!G314</f>
        <v>27511.55</v>
      </c>
    </row>
    <row r="19" spans="1:3">
      <c r="A19" t="s">
        <v>779</v>
      </c>
      <c r="B19" s="241">
        <v>22949.94</v>
      </c>
      <c r="C19" s="241">
        <v>15272.72</v>
      </c>
    </row>
    <row r="20" spans="1:3">
      <c r="A20" t="s">
        <v>780</v>
      </c>
      <c r="B20" s="241">
        <v>18390.990000000002</v>
      </c>
      <c r="C20" s="241">
        <v>12238.83</v>
      </c>
    </row>
    <row r="21" spans="1:3">
      <c r="A21" t="s">
        <v>781</v>
      </c>
      <c r="B21" s="241"/>
      <c r="C21" s="241"/>
    </row>
    <row r="22" spans="1:3">
      <c r="A22" t="str">
        <f>IF(B18=B22,IF(C18=C22,"Check Total OK","Check Total Error"),"Check Total Error")</f>
        <v>Check Total OK</v>
      </c>
      <c r="B22" s="232">
        <f>SUM(B19:B21)</f>
        <v>41340.93</v>
      </c>
      <c r="C22" s="232">
        <f>SUM(C19:C21)</f>
        <v>27511.55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2080</v>
      </c>
      <c r="C36" s="236">
        <f>'DOE25'!G199+'DOE25'!G217+'DOE25'!G235+'DOE25'!G278+'DOE25'!G297+'DOE25'!G316</f>
        <v>419.99</v>
      </c>
    </row>
    <row r="37" spans="1:3">
      <c r="A37" t="s">
        <v>779</v>
      </c>
      <c r="B37" s="241">
        <v>2080</v>
      </c>
      <c r="C37" s="241">
        <v>419.99</v>
      </c>
    </row>
    <row r="38" spans="1:3">
      <c r="A38" t="s">
        <v>780</v>
      </c>
      <c r="B38" s="241"/>
      <c r="C38" s="241"/>
    </row>
    <row r="39" spans="1:3">
      <c r="A39" t="s">
        <v>781</v>
      </c>
      <c r="B39" s="241"/>
      <c r="C39" s="241"/>
    </row>
    <row r="40" spans="1:3">
      <c r="A40" t="str">
        <f>IF(B36=B40,IF(C36=C40,"Check Total OK","Check Total Error"),"Check Total Error")</f>
        <v>Check Total OK</v>
      </c>
      <c r="B40" s="232">
        <f>SUM(B37:B39)</f>
        <v>2080</v>
      </c>
      <c r="C40" s="232">
        <f>SUM(C37:C39)</f>
        <v>419.99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NELSON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1212651.26</v>
      </c>
      <c r="D5" s="20">
        <f>SUM('DOE25'!L196:L199)+SUM('DOE25'!L214:L217)+SUM('DOE25'!L232:L235)-F5-G5</f>
        <v>1210733.05</v>
      </c>
      <c r="E5" s="244"/>
      <c r="F5" s="256">
        <f>SUM('DOE25'!J196:J199)+SUM('DOE25'!J214:J217)+SUM('DOE25'!J232:J235)</f>
        <v>1918.21</v>
      </c>
      <c r="G5" s="53">
        <f>SUM('DOE25'!K196:K199)+SUM('DOE25'!K214:K217)+SUM('DOE25'!K232:K235)</f>
        <v>0</v>
      </c>
      <c r="H5" s="260"/>
    </row>
    <row r="6" spans="1:9">
      <c r="A6" s="32">
        <v>2100</v>
      </c>
      <c r="B6" t="s">
        <v>801</v>
      </c>
      <c r="C6" s="246">
        <f t="shared" si="0"/>
        <v>52256.92</v>
      </c>
      <c r="D6" s="20">
        <f>'DOE25'!L201+'DOE25'!L219+'DOE25'!L237-F6-G6</f>
        <v>52256.92</v>
      </c>
      <c r="E6" s="244"/>
      <c r="F6" s="256">
        <f>'DOE25'!J201+'DOE25'!J219+'DOE25'!J237</f>
        <v>0</v>
      </c>
      <c r="G6" s="53">
        <f>'DOE25'!K201+'DOE25'!K219+'DOE25'!K237</f>
        <v>0</v>
      </c>
      <c r="H6" s="260"/>
    </row>
    <row r="7" spans="1:9">
      <c r="A7" s="32">
        <v>2200</v>
      </c>
      <c r="B7" t="s">
        <v>834</v>
      </c>
      <c r="C7" s="246">
        <f t="shared" si="0"/>
        <v>9322.75</v>
      </c>
      <c r="D7" s="20">
        <f>'DOE25'!L202+'DOE25'!L220+'DOE25'!L238-F7-G7</f>
        <v>9322.75</v>
      </c>
      <c r="E7" s="244"/>
      <c r="F7" s="256">
        <f>'DOE25'!J202+'DOE25'!J220+'DOE25'!J238</f>
        <v>0</v>
      </c>
      <c r="G7" s="53">
        <f>'DOE25'!K202+'DOE25'!K220+'DOE25'!K238</f>
        <v>0</v>
      </c>
      <c r="H7" s="260"/>
    </row>
    <row r="8" spans="1:9">
      <c r="A8" s="32">
        <v>2300</v>
      </c>
      <c r="B8" t="s">
        <v>802</v>
      </c>
      <c r="C8" s="246">
        <f t="shared" si="0"/>
        <v>51065</v>
      </c>
      <c r="D8" s="244"/>
      <c r="E8" s="20">
        <f>'DOE25'!L203+'DOE25'!L221+'DOE25'!L239-F8-G8-D9-D11</f>
        <v>51057</v>
      </c>
      <c r="F8" s="256">
        <f>'DOE25'!J203+'DOE25'!J221+'DOE25'!J239</f>
        <v>0</v>
      </c>
      <c r="G8" s="53">
        <f>'DOE25'!K203+'DOE25'!K221+'DOE25'!K239</f>
        <v>8</v>
      </c>
      <c r="H8" s="260"/>
    </row>
    <row r="9" spans="1:9">
      <c r="A9" s="32">
        <v>2310</v>
      </c>
      <c r="B9" t="s">
        <v>818</v>
      </c>
      <c r="C9" s="246">
        <f t="shared" si="0"/>
        <v>9122.83</v>
      </c>
      <c r="D9" s="245">
        <v>9122.83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5250</v>
      </c>
      <c r="D10" s="244"/>
      <c r="E10" s="245">
        <v>5250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19035</v>
      </c>
      <c r="D11" s="245">
        <v>19035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98702.81</v>
      </c>
      <c r="D12" s="20">
        <f>'DOE25'!L204+'DOE25'!L222+'DOE25'!L240-F12-G12</f>
        <v>98623.81</v>
      </c>
      <c r="E12" s="244"/>
      <c r="F12" s="256">
        <f>'DOE25'!J204+'DOE25'!J222+'DOE25'!J240</f>
        <v>0</v>
      </c>
      <c r="G12" s="53">
        <f>'DOE25'!K204+'DOE25'!K222+'DOE25'!K240</f>
        <v>79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56960.109999999993</v>
      </c>
      <c r="D14" s="20">
        <f>'DOE25'!L206+'DOE25'!L224+'DOE25'!L242-F14-G14</f>
        <v>56233.119999999995</v>
      </c>
      <c r="E14" s="244"/>
      <c r="F14" s="256">
        <f>'DOE25'!J206+'DOE25'!J224+'DOE25'!J242</f>
        <v>726.99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116996.18000000001</v>
      </c>
      <c r="D15" s="20">
        <f>'DOE25'!L207+'DOE25'!L225+'DOE25'!L243-F15-G15</f>
        <v>116996.18000000001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157</v>
      </c>
      <c r="D16" s="244"/>
      <c r="E16" s="20">
        <f>'DOE25'!L208+'DOE25'!L226+'DOE25'!L244-F16-G16</f>
        <v>157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0</v>
      </c>
      <c r="D22" s="244"/>
      <c r="E22" s="244"/>
      <c r="F22" s="256">
        <f>'DOE25'!L254+'DOE25'!L335</f>
        <v>0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8127.1299999999992</v>
      </c>
      <c r="D29" s="20">
        <f>'DOE25'!L357+'DOE25'!L358+'DOE25'!L359-'DOE25'!I366-F29-G29</f>
        <v>8083.3899999999994</v>
      </c>
      <c r="E29" s="244"/>
      <c r="F29" s="256">
        <f>'DOE25'!J357+'DOE25'!J358+'DOE25'!J359</f>
        <v>43.74</v>
      </c>
      <c r="G29" s="53">
        <f>'DOE25'!K357+'DOE25'!K358+'DOE25'!K359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57756.33</v>
      </c>
      <c r="D31" s="20">
        <f>'DOE25'!L289+'DOE25'!L308+'DOE25'!L327+'DOE25'!L332+'DOE25'!L333+'DOE25'!L334-F31-G31</f>
        <v>46608.72</v>
      </c>
      <c r="E31" s="244"/>
      <c r="F31" s="256">
        <f>'DOE25'!J289+'DOE25'!J308+'DOE25'!J327+'DOE25'!J332+'DOE25'!J333+'DOE25'!J334</f>
        <v>9683.7000000000007</v>
      </c>
      <c r="G31" s="53">
        <f>'DOE25'!K289+'DOE25'!K308+'DOE25'!K327+'DOE25'!K332+'DOE25'!K333+'DOE25'!K334</f>
        <v>1463.91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1627015.7699999998</v>
      </c>
      <c r="E33" s="247">
        <f>SUM(E5:E31)</f>
        <v>56464</v>
      </c>
      <c r="F33" s="247">
        <f>SUM(F5:F31)</f>
        <v>12372.64</v>
      </c>
      <c r="G33" s="247">
        <f>SUM(G5:G31)</f>
        <v>1550.91</v>
      </c>
      <c r="H33" s="247">
        <f>SUM(H5:H31)</f>
        <v>0</v>
      </c>
    </row>
    <row r="35" spans="2:8" ht="12" thickBot="1">
      <c r="B35" s="254" t="s">
        <v>847</v>
      </c>
      <c r="D35" s="255">
        <f>E33</f>
        <v>56464</v>
      </c>
      <c r="E35" s="250"/>
    </row>
    <row r="36" spans="2:8" ht="12" thickTop="1">
      <c r="B36" t="s">
        <v>815</v>
      </c>
      <c r="D36" s="20">
        <f>D33</f>
        <v>1627015.7699999998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16" activePane="bottomLeft" state="frozen"/>
      <selection pane="bottomLeft" activeCell="A48" sqref="A48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NELSON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65726.5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101452.08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13795.55</v>
      </c>
      <c r="D11" s="95">
        <f>'DOE25'!G12</f>
        <v>56.92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4409.96</v>
      </c>
      <c r="D12" s="95">
        <f>'DOE25'!G13</f>
        <v>0</v>
      </c>
      <c r="E12" s="95">
        <f>'DOE25'!H13</f>
        <v>14965.15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83932.010000000009</v>
      </c>
      <c r="D18" s="41">
        <f>SUM(D8:D17)</f>
        <v>56.92</v>
      </c>
      <c r="E18" s="41">
        <f>SUM(E8:E17)</f>
        <v>14965.15</v>
      </c>
      <c r="F18" s="41">
        <f>SUM(F8:F17)</f>
        <v>0</v>
      </c>
      <c r="G18" s="41">
        <f>SUM(G8:G17)</f>
        <v>101452.08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56.92</v>
      </c>
      <c r="D21" s="95">
        <f>'DOE25'!G22</f>
        <v>0</v>
      </c>
      <c r="E21" s="95">
        <f>'DOE25'!H22</f>
        <v>13795.55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4801.01</v>
      </c>
      <c r="D23" s="95">
        <f>'DOE25'!G24</f>
        <v>0</v>
      </c>
      <c r="E23" s="95">
        <f>'DOE25'!H24</f>
        <v>947.01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1314.64</v>
      </c>
      <c r="D27" s="95">
        <f>'DOE25'!G28</f>
        <v>56.92</v>
      </c>
      <c r="E27" s="95">
        <f>'DOE25'!H28</f>
        <v>222.59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6172.5700000000006</v>
      </c>
      <c r="D31" s="41">
        <f>SUM(D21:D30)</f>
        <v>56.92</v>
      </c>
      <c r="E31" s="41">
        <f>SUM(E21:E30)</f>
        <v>14965.15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40000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101452.08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37759.440000000002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77759.44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101452.08</v>
      </c>
      <c r="H49" s="124"/>
      <c r="I49" s="124"/>
    </row>
    <row r="50" spans="1:9" ht="12" thickTop="1">
      <c r="A50" s="38" t="s">
        <v>895</v>
      </c>
      <c r="B50" s="2"/>
      <c r="C50" s="41">
        <f>C49+C31</f>
        <v>83932.010000000009</v>
      </c>
      <c r="D50" s="41">
        <f>D49+D31</f>
        <v>56.92</v>
      </c>
      <c r="E50" s="41">
        <f>E49+E31</f>
        <v>14965.15</v>
      </c>
      <c r="F50" s="41">
        <f>F49+F31</f>
        <v>0</v>
      </c>
      <c r="G50" s="41">
        <f>G49+G31</f>
        <v>101452.08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1109639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25178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422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70.460000000000008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0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5968.74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31568.739999999998</v>
      </c>
      <c r="D61" s="130">
        <f>SUM(D56:D60)</f>
        <v>0</v>
      </c>
      <c r="E61" s="130">
        <f>SUM(E56:E60)</f>
        <v>0</v>
      </c>
      <c r="F61" s="130">
        <f>SUM(F56:F60)</f>
        <v>0</v>
      </c>
      <c r="G61" s="130">
        <f>SUM(G56:G60)</f>
        <v>70.460000000000008</v>
      </c>
      <c r="H61"/>
      <c r="I61"/>
    </row>
    <row r="62" spans="1:9" ht="12" thickTop="1">
      <c r="A62" s="29" t="s">
        <v>175</v>
      </c>
      <c r="B62" s="6"/>
      <c r="C62" s="22">
        <f>C55+C61</f>
        <v>1141207.74</v>
      </c>
      <c r="D62" s="22">
        <f>D55+D61</f>
        <v>0</v>
      </c>
      <c r="E62" s="22">
        <f>E55+E61</f>
        <v>0</v>
      </c>
      <c r="F62" s="22">
        <f>F55+F61</f>
        <v>0</v>
      </c>
      <c r="G62" s="22">
        <f>G55+G61</f>
        <v>70.460000000000008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208505.34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278445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180.66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487130.99999999994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35850.81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0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35850.81</v>
      </c>
      <c r="D77" s="130">
        <f>SUM(D71:D76)</f>
        <v>0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522981.80999999994</v>
      </c>
      <c r="D80" s="130">
        <f>SUM(D78:D79)+D77+D69</f>
        <v>0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17539.439999999999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29584.83</v>
      </c>
      <c r="D87" s="95">
        <f>SUM('DOE25'!G152:G160)</f>
        <v>0</v>
      </c>
      <c r="E87" s="95">
        <f>SUM('DOE25'!H152:H160)</f>
        <v>40216.89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29584.83</v>
      </c>
      <c r="D90" s="131">
        <f>SUM(D84:D89)</f>
        <v>0</v>
      </c>
      <c r="E90" s="131">
        <f>SUM(E84:E89)</f>
        <v>57756.33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8127.13</v>
      </c>
      <c r="E95" s="95">
        <f>'DOE25'!H178</f>
        <v>0</v>
      </c>
      <c r="F95" s="95">
        <f>'DOE25'!I178</f>
        <v>0</v>
      </c>
      <c r="G95" s="95">
        <f>'DOE25'!J178</f>
        <v>30000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8127.13</v>
      </c>
      <c r="E102" s="86">
        <f>SUM(E92:E101)</f>
        <v>0</v>
      </c>
      <c r="F102" s="86">
        <f>SUM(F92:F101)</f>
        <v>0</v>
      </c>
      <c r="G102" s="86">
        <f>SUM(G92:G101)</f>
        <v>30000</v>
      </c>
    </row>
    <row r="103" spans="1:7" ht="12.75" thickTop="1" thickBot="1">
      <c r="A103" s="33" t="s">
        <v>765</v>
      </c>
      <c r="C103" s="86">
        <f>C62+C80+C90+C102</f>
        <v>1693774.38</v>
      </c>
      <c r="D103" s="86">
        <f>D62+D80+D90+D102</f>
        <v>8127.13</v>
      </c>
      <c r="E103" s="86">
        <f>E62+E80+E90+E102</f>
        <v>57756.33</v>
      </c>
      <c r="F103" s="86">
        <f>F62+F80+F90+F102</f>
        <v>0</v>
      </c>
      <c r="G103" s="86">
        <f>G62+G80+G102</f>
        <v>30070.46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687414.6100000001</v>
      </c>
      <c r="D108" s="24" t="s">
        <v>289</v>
      </c>
      <c r="E108" s="95">
        <f>('DOE25'!L275)+('DOE25'!L294)+('DOE25'!L313)</f>
        <v>25399.16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522736.66000000003</v>
      </c>
      <c r="D109" s="24" t="s">
        <v>289</v>
      </c>
      <c r="E109" s="95">
        <f>('DOE25'!L276)+('DOE25'!L295)+('DOE25'!L314)</f>
        <v>17359.5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2499.9899999999998</v>
      </c>
      <c r="D111" s="24" t="s">
        <v>289</v>
      </c>
      <c r="E111" s="95">
        <f>+('DOE25'!L278)+('DOE25'!L297)+('DOE25'!L316)</f>
        <v>1244.95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1212651.26</v>
      </c>
      <c r="D114" s="86">
        <f>SUM(D108:D113)</f>
        <v>0</v>
      </c>
      <c r="E114" s="86">
        <f>SUM(E108:E113)</f>
        <v>44003.61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52256.92</v>
      </c>
      <c r="D117" s="24" t="s">
        <v>289</v>
      </c>
      <c r="E117" s="95">
        <f>+('DOE25'!L280)+('DOE25'!L299)+('DOE25'!L318)</f>
        <v>332.12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9322.75</v>
      </c>
      <c r="D118" s="24" t="s">
        <v>289</v>
      </c>
      <c r="E118" s="95">
        <f>+('DOE25'!L281)+('DOE25'!L300)+('DOE25'!L319)</f>
        <v>10961.69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79222.83</v>
      </c>
      <c r="D119" s="24" t="s">
        <v>289</v>
      </c>
      <c r="E119" s="95">
        <f>+('DOE25'!L282)+('DOE25'!L301)+('DOE25'!L320)</f>
        <v>995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98702.81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1463.91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56960.109999999993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116996.18000000001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157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8127.1299999999992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413618.6</v>
      </c>
      <c r="D127" s="86">
        <f>SUM(D117:D126)</f>
        <v>8127.1299999999992</v>
      </c>
      <c r="E127" s="86">
        <f>SUM(E117:E126)</f>
        <v>13752.720000000001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0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8127.13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15019.12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15051.34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-70.459999999999127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38127.129999999997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1664396.9899999998</v>
      </c>
      <c r="D144" s="86">
        <f>(D114+D127+D143)</f>
        <v>8127.1299999999992</v>
      </c>
      <c r="E144" s="86">
        <f>(E114+E127+E143)</f>
        <v>57756.33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NELSON SCHOOL DISTRICT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28711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28711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712814</v>
      </c>
      <c r="D10" s="182">
        <f>ROUND((C10/$C$28)*100,1)</f>
        <v>42.1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540096</v>
      </c>
      <c r="D11" s="182">
        <f>ROUND((C11/$C$28)*100,1)</f>
        <v>31.9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3745</v>
      </c>
      <c r="D13" s="182">
        <f>ROUND((C13/$C$28)*100,1)</f>
        <v>0.2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52589</v>
      </c>
      <c r="D15" s="182">
        <f t="shared" ref="D15:D27" si="0">ROUND((C15/$C$28)*100,1)</f>
        <v>3.1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20284</v>
      </c>
      <c r="D16" s="182">
        <f t="shared" si="0"/>
        <v>1.2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80375</v>
      </c>
      <c r="D17" s="182">
        <f t="shared" si="0"/>
        <v>4.7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98703</v>
      </c>
      <c r="D18" s="182">
        <f t="shared" si="0"/>
        <v>5.8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1464</v>
      </c>
      <c r="D19" s="182">
        <f t="shared" si="0"/>
        <v>0.1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56960</v>
      </c>
      <c r="D20" s="182">
        <f t="shared" si="0"/>
        <v>3.4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116996</v>
      </c>
      <c r="D21" s="182">
        <f t="shared" si="0"/>
        <v>6.9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8127</v>
      </c>
      <c r="D27" s="182">
        <f t="shared" si="0"/>
        <v>0.5</v>
      </c>
    </row>
    <row r="28" spans="1:4">
      <c r="B28" s="187" t="s">
        <v>723</v>
      </c>
      <c r="C28" s="180">
        <f>SUM(C10:C27)</f>
        <v>1692153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0</v>
      </c>
    </row>
    <row r="30" spans="1:4">
      <c r="B30" s="187" t="s">
        <v>729</v>
      </c>
      <c r="C30" s="180">
        <f>SUM(C28:C29)</f>
        <v>1692153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1109639</v>
      </c>
      <c r="D35" s="182">
        <f t="shared" ref="D35:D40" si="1">ROUND((C35/$C$41)*100,1)</f>
        <v>63.3</v>
      </c>
    </row>
    <row r="36" spans="1:4">
      <c r="B36" s="185" t="s">
        <v>743</v>
      </c>
      <c r="C36" s="179">
        <f>SUM('DOE25'!F111:J111)-SUM('DOE25'!G96:G109)+('DOE25'!F173+'DOE25'!F174+'DOE25'!I173+'DOE25'!I174)-C35</f>
        <v>31639.199999999953</v>
      </c>
      <c r="D36" s="182">
        <f t="shared" si="1"/>
        <v>1.8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487131</v>
      </c>
      <c r="D37" s="182">
        <f t="shared" si="1"/>
        <v>27.8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35851</v>
      </c>
      <c r="D38" s="182">
        <f t="shared" si="1"/>
        <v>2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87341</v>
      </c>
      <c r="D39" s="182">
        <f t="shared" si="1"/>
        <v>5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1751601.2</v>
      </c>
      <c r="D41" s="184">
        <f>SUM(D35:D40)</f>
        <v>99.899999999999991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4" t="s">
        <v>770</v>
      </c>
      <c r="B1" s="285"/>
      <c r="C1" s="285"/>
      <c r="D1" s="285"/>
      <c r="E1" s="285"/>
      <c r="F1" s="285"/>
      <c r="G1" s="285"/>
      <c r="H1" s="285"/>
      <c r="I1" s="285"/>
      <c r="J1" s="214"/>
      <c r="K1" s="214"/>
      <c r="L1" s="214"/>
      <c r="M1" s="215"/>
    </row>
    <row r="2" spans="1:26" ht="12.75">
      <c r="A2" s="292" t="s">
        <v>767</v>
      </c>
      <c r="B2" s="293"/>
      <c r="C2" s="293"/>
      <c r="D2" s="293"/>
      <c r="E2" s="293"/>
      <c r="F2" s="288" t="str">
        <f>'DOE25'!A2</f>
        <v>NELSON SCHOOL DISTRICT</v>
      </c>
      <c r="G2" s="289"/>
      <c r="H2" s="289"/>
      <c r="I2" s="289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6" t="s">
        <v>771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2012-06-19T17:07:30Z</cp:lastPrinted>
  <dcterms:created xsi:type="dcterms:W3CDTF">1997-12-04T19:04:30Z</dcterms:created>
  <dcterms:modified xsi:type="dcterms:W3CDTF">2012-11-21T15:07:14Z</dcterms:modified>
</cp:coreProperties>
</file>