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78" i="1" l="1"/>
  <c r="F24" i="1" l="1"/>
  <c r="F464" i="1"/>
  <c r="F49" i="1"/>
  <c r="F28" i="1" l="1"/>
  <c r="F14" i="1"/>
  <c r="G96" i="1"/>
  <c r="H603" i="1"/>
  <c r="H522" i="1"/>
  <c r="I520" i="1"/>
  <c r="J471" i="1" l="1"/>
  <c r="I471" i="1"/>
  <c r="G471" i="1"/>
  <c r="I467" i="1"/>
  <c r="H467" i="1"/>
  <c r="F467" i="1"/>
  <c r="H281" i="1"/>
  <c r="H215" i="1"/>
  <c r="H232" i="1"/>
  <c r="H214" i="1"/>
  <c r="I206" i="1"/>
  <c r="I196" i="1"/>
  <c r="F29" i="1" l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C20" i="10" s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G31" i="13" s="1"/>
  <c r="K308" i="1"/>
  <c r="K327" i="1"/>
  <c r="L275" i="1"/>
  <c r="L276" i="1"/>
  <c r="L277" i="1"/>
  <c r="L278" i="1"/>
  <c r="L280" i="1"/>
  <c r="E117" i="2" s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2" i="10"/>
  <c r="C17" i="10"/>
  <c r="C18" i="10"/>
  <c r="L249" i="1"/>
  <c r="L331" i="1"/>
  <c r="L253" i="1"/>
  <c r="C24" i="10" s="1"/>
  <c r="C25" i="10"/>
  <c r="L267" i="1"/>
  <c r="L268" i="1"/>
  <c r="L348" i="1"/>
  <c r="L349" i="1"/>
  <c r="I664" i="1"/>
  <c r="I669" i="1"/>
  <c r="L246" i="1"/>
  <c r="F660" i="1"/>
  <c r="G660" i="1"/>
  <c r="H660" i="1"/>
  <c r="F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1" i="2"/>
  <c r="C130" i="2"/>
  <c r="A1" i="2"/>
  <c r="A2" i="2"/>
  <c r="C8" i="2"/>
  <c r="D8" i="2"/>
  <c r="D18" i="2" s="1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7" i="2" s="1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G102" i="2" s="1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E109" i="2"/>
  <c r="C110" i="2"/>
  <c r="E110" i="2"/>
  <c r="C111" i="2"/>
  <c r="E111" i="2"/>
  <c r="E114" i="2" s="1"/>
  <c r="C112" i="2"/>
  <c r="E112" i="2"/>
  <c r="C113" i="2"/>
  <c r="E113" i="2"/>
  <c r="D114" i="2"/>
  <c r="F114" i="2"/>
  <c r="G114" i="2"/>
  <c r="C117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G621" i="1" s="1"/>
  <c r="G50" i="1"/>
  <c r="G51" i="1" s="1"/>
  <c r="H617" i="1" s="1"/>
  <c r="H50" i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F256" i="1" s="1"/>
  <c r="F270" i="1" s="1"/>
  <c r="G210" i="1"/>
  <c r="H210" i="1"/>
  <c r="I210" i="1"/>
  <c r="I256" i="1" s="1"/>
  <c r="I270" i="1" s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G641" i="1" s="1"/>
  <c r="F451" i="1"/>
  <c r="G451" i="1"/>
  <c r="H451" i="1"/>
  <c r="I451" i="1"/>
  <c r="F459" i="1"/>
  <c r="G459" i="1"/>
  <c r="H459" i="1"/>
  <c r="I459" i="1"/>
  <c r="F460" i="1"/>
  <c r="G460" i="1"/>
  <c r="H460" i="1"/>
  <c r="I460" i="1"/>
  <c r="H641" i="1" s="1"/>
  <c r="F469" i="1"/>
  <c r="H469" i="1"/>
  <c r="I469" i="1"/>
  <c r="J469" i="1"/>
  <c r="G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7" i="1"/>
  <c r="G618" i="1"/>
  <c r="G619" i="1"/>
  <c r="G622" i="1"/>
  <c r="G623" i="1"/>
  <c r="H626" i="1"/>
  <c r="H628" i="1"/>
  <c r="H629" i="1"/>
  <c r="H630" i="1"/>
  <c r="G633" i="1"/>
  <c r="H634" i="1"/>
  <c r="H635" i="1"/>
  <c r="H636" i="1"/>
  <c r="H637" i="1"/>
  <c r="G638" i="1"/>
  <c r="H638" i="1"/>
  <c r="G639" i="1"/>
  <c r="H639" i="1"/>
  <c r="G640" i="1"/>
  <c r="H640" i="1"/>
  <c r="G642" i="1"/>
  <c r="H642" i="1"/>
  <c r="G643" i="1"/>
  <c r="H643" i="1"/>
  <c r="H646" i="1"/>
  <c r="G648" i="1"/>
  <c r="G649" i="1"/>
  <c r="G650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K256" i="1"/>
  <c r="G256" i="1"/>
  <c r="G270" i="1" s="1"/>
  <c r="G163" i="2"/>
  <c r="G159" i="2"/>
  <c r="F31" i="2"/>
  <c r="C26" i="10"/>
  <c r="L327" i="1"/>
  <c r="L350" i="1"/>
  <c r="A31" i="12"/>
  <c r="C69" i="2"/>
  <c r="D12" i="13"/>
  <c r="C12" i="13" s="1"/>
  <c r="G8" i="2"/>
  <c r="G161" i="2"/>
  <c r="E49" i="2"/>
  <c r="D18" i="13"/>
  <c r="C18" i="13" s="1"/>
  <c r="D15" i="13"/>
  <c r="C15" i="13" s="1"/>
  <c r="D7" i="13"/>
  <c r="C7" i="13" s="1"/>
  <c r="F102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D49" i="2"/>
  <c r="D50" i="2" s="1"/>
  <c r="G156" i="2"/>
  <c r="F49" i="2"/>
  <c r="F50" i="2" s="1"/>
  <c r="F18" i="2"/>
  <c r="G162" i="2"/>
  <c r="G160" i="2"/>
  <c r="G157" i="2"/>
  <c r="G155" i="2"/>
  <c r="E143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K351" i="1" l="1"/>
  <c r="H51" i="1"/>
  <c r="H618" i="1" s="1"/>
  <c r="J618" i="1" s="1"/>
  <c r="C18" i="2"/>
  <c r="E18" i="2"/>
  <c r="D61" i="2"/>
  <c r="D62" i="2" s="1"/>
  <c r="K270" i="1"/>
  <c r="J619" i="1"/>
  <c r="G624" i="1"/>
  <c r="G644" i="1"/>
  <c r="J644" i="1" s="1"/>
  <c r="J641" i="1"/>
  <c r="L613" i="1"/>
  <c r="I662" i="1"/>
  <c r="G570" i="1"/>
  <c r="F544" i="1"/>
  <c r="L361" i="1"/>
  <c r="C19" i="10"/>
  <c r="C16" i="10"/>
  <c r="L289" i="1"/>
  <c r="C15" i="10"/>
  <c r="C13" i="10"/>
  <c r="H659" i="1"/>
  <c r="H663" i="1" s="1"/>
  <c r="H666" i="1" s="1"/>
  <c r="C21" i="10"/>
  <c r="C109" i="2"/>
  <c r="G661" i="1"/>
  <c r="I661" i="1" s="1"/>
  <c r="J649" i="1"/>
  <c r="L228" i="1"/>
  <c r="C11" i="10"/>
  <c r="J648" i="1"/>
  <c r="C118" i="2"/>
  <c r="C127" i="2" s="1"/>
  <c r="C114" i="2"/>
  <c r="L210" i="1"/>
  <c r="A22" i="12"/>
  <c r="G33" i="13"/>
  <c r="F139" i="1"/>
  <c r="F51" i="1"/>
  <c r="H616" i="1" s="1"/>
  <c r="J616" i="1" s="1"/>
  <c r="C80" i="2"/>
  <c r="C103" i="2" s="1"/>
  <c r="E77" i="2"/>
  <c r="E80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L433" i="1"/>
  <c r="G637" i="1" s="1"/>
  <c r="E50" i="2"/>
  <c r="J643" i="1"/>
  <c r="J642" i="1"/>
  <c r="J475" i="1"/>
  <c r="H625" i="1" s="1"/>
  <c r="I475" i="1"/>
  <c r="H624" i="1" s="1"/>
  <c r="G337" i="1"/>
  <c r="G351" i="1" s="1"/>
  <c r="D144" i="2"/>
  <c r="C23" i="10"/>
  <c r="F168" i="1"/>
  <c r="J139" i="1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L400" i="1"/>
  <c r="C138" i="2" s="1"/>
  <c r="L392" i="1"/>
  <c r="A13" i="12"/>
  <c r="F22" i="13"/>
  <c r="H25" i="13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H191" i="1"/>
  <c r="E127" i="2"/>
  <c r="E144" i="2" s="1"/>
  <c r="F551" i="1"/>
  <c r="C35" i="10"/>
  <c r="L308" i="1"/>
  <c r="D5" i="13"/>
  <c r="E16" i="13"/>
  <c r="C49" i="2"/>
  <c r="C50" i="2" s="1"/>
  <c r="J654" i="1"/>
  <c r="J192" i="1"/>
  <c r="L569" i="1"/>
  <c r="I570" i="1"/>
  <c r="I544" i="1"/>
  <c r="J635" i="1"/>
  <c r="G36" i="2"/>
  <c r="G49" i="2" s="1"/>
  <c r="G50" i="2" s="1"/>
  <c r="J50" i="1"/>
  <c r="L564" i="1"/>
  <c r="L570" i="1" s="1"/>
  <c r="G544" i="1"/>
  <c r="L544" i="1"/>
  <c r="H544" i="1"/>
  <c r="K550" i="1"/>
  <c r="F143" i="2"/>
  <c r="F144" i="2" s="1"/>
  <c r="D103" i="2" l="1"/>
  <c r="G627" i="1"/>
  <c r="G467" i="1"/>
  <c r="J624" i="1"/>
  <c r="K551" i="1"/>
  <c r="C27" i="10"/>
  <c r="C28" i="10" s="1"/>
  <c r="C30" i="10" s="1"/>
  <c r="G634" i="1"/>
  <c r="J634" i="1" s="1"/>
  <c r="H671" i="1"/>
  <c r="L256" i="1"/>
  <c r="L270" i="1" s="1"/>
  <c r="H647" i="1"/>
  <c r="J647" i="1" s="1"/>
  <c r="F659" i="1"/>
  <c r="F663" i="1" s="1"/>
  <c r="F671" i="1" s="1"/>
  <c r="C4" i="10" s="1"/>
  <c r="C39" i="10"/>
  <c r="H192" i="1"/>
  <c r="G628" i="1" s="1"/>
  <c r="J628" i="1" s="1"/>
  <c r="C36" i="10"/>
  <c r="C38" i="10"/>
  <c r="F192" i="1"/>
  <c r="G626" i="1" s="1"/>
  <c r="J626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C25" i="13"/>
  <c r="H33" i="13"/>
  <c r="G630" i="1"/>
  <c r="J630" i="1" s="1"/>
  <c r="G645" i="1"/>
  <c r="G625" i="1"/>
  <c r="J51" i="1"/>
  <c r="H620" i="1" s="1"/>
  <c r="J620" i="1" s="1"/>
  <c r="H627" i="1" l="1"/>
  <c r="J627" i="1" s="1"/>
  <c r="G469" i="1"/>
  <c r="G475" i="1" s="1"/>
  <c r="H622" i="1" s="1"/>
  <c r="J622" i="1" s="1"/>
  <c r="G631" i="1"/>
  <c r="F471" i="1"/>
  <c r="G632" i="1"/>
  <c r="D11" i="10"/>
  <c r="D10" i="10"/>
  <c r="D26" i="10"/>
  <c r="D16" i="10"/>
  <c r="D21" i="10"/>
  <c r="D25" i="10"/>
  <c r="D13" i="10"/>
  <c r="D27" i="10"/>
  <c r="D20" i="10"/>
  <c r="D18" i="10"/>
  <c r="D23" i="10"/>
  <c r="D22" i="10"/>
  <c r="D15" i="10"/>
  <c r="D12" i="10"/>
  <c r="D19" i="10"/>
  <c r="D24" i="10"/>
  <c r="D17" i="10"/>
  <c r="F666" i="1"/>
  <c r="C41" i="10"/>
  <c r="D39" i="10" s="1"/>
  <c r="G636" i="1"/>
  <c r="J636" i="1" s="1"/>
  <c r="H645" i="1"/>
  <c r="J645" i="1" s="1"/>
  <c r="D33" i="13"/>
  <c r="D36" i="13" s="1"/>
  <c r="G663" i="1"/>
  <c r="I659" i="1"/>
  <c r="I663" i="1" s="1"/>
  <c r="J625" i="1"/>
  <c r="H631" i="1" l="1"/>
  <c r="J631" i="1" s="1"/>
  <c r="F473" i="1"/>
  <c r="F475" i="1" s="1"/>
  <c r="H621" i="1" s="1"/>
  <c r="J621" i="1" s="1"/>
  <c r="H632" i="1"/>
  <c r="J632" i="1" s="1"/>
  <c r="H473" i="1"/>
  <c r="H475" i="1" s="1"/>
  <c r="H623" i="1" s="1"/>
  <c r="D28" i="10"/>
  <c r="D36" i="10"/>
  <c r="D35" i="10"/>
  <c r="D38" i="10"/>
  <c r="D37" i="10"/>
  <c r="D40" i="10"/>
  <c r="I666" i="1"/>
  <c r="I671" i="1"/>
  <c r="C7" i="10" s="1"/>
  <c r="G671" i="1"/>
  <c r="G666" i="1"/>
  <c r="J623" i="1" l="1"/>
  <c r="H655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<sst xmlns="http://schemas.openxmlformats.org/spreadsheetml/2006/main" count="3950" uniqueCount="917">
  <si>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</si>
  <si>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</si>
  <si>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</si>
  <si>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</si>
  <si>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</si>
  <si>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</si>
  <si>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</si>
  <si>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</si>
  <si>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</si>
  <si>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</si>
  <si>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</si>
  <si>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</si>
  <si>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</si>
  <si>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</si>
  <si>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</si>
  <si>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</si>
  <si>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</si>
  <si>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</si>
  <si>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</si>
  <si>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</si>
  <si>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</si>
  <si>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</si>
  <si>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</si>
  <si>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</si>
  <si>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</si>
  <si>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</si>
  <si>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</si>
  <si>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</si>
  <si>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</si>
  <si>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</si>
  <si>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</si>
  <si>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</si>
  <si>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</si>
  <si>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</si>
  <si>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</si>
  <si>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</si>
  <si>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</si>
  <si>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</si>
  <si>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</si>
  <si>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</si>
  <si>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</si>
  <si>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</si>
  <si>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</si>
  <si>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</si>
  <si>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</si>
  <si>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</si>
  <si>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</si>
  <si>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</si>
  <si>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</si>
  <si>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</si>
  <si>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</si>
  <si>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</si>
  <si>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</si>
  <si>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</si>
  <si>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</si>
  <si>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</si>
  <si>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</si>
  <si>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</si>
  <si>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</si>
  <si>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</si>
  <si>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</si>
  <si>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</si>
  <si>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</si>
  <si>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</si>
  <si>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</si>
  <si>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</si>
  <si>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</si>
  <si>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</si>
  <si>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</si>
  <si>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</si>
  <si>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</si>
  <si>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</si>
  <si>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</si>
  <si>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</si>
  <si>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</si>
  <si>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</si>
  <si>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</si>
  <si>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</si>
  <si>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</si>
  <si>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</si>
  <si>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</si>
  <si>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</si>
  <si>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</si>
  <si>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</si>
  <si>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</si>
  <si>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</si>
  <si>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</si>
  <si>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</si>
  <si>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</si>
  <si>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</si>
  <si>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</si>
  <si>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</si>
  <si>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</si>
  <si>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</si>
  <si>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</si>
  <si>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</si>
  <si>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</si>
  <si>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</si>
  <si>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</si>
  <si>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</si>
  <si>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</si>
  <si>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</si>
  <si>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</si>
  <si>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</si>
  <si>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</si>
  <si>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</si>
  <si>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</si>
  <si>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</si>
  <si>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</si>
  <si>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</si>
  <si>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</si>
  <si>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</si>
  <si>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</si>
  <si>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</si>
  <si>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</si>
  <si>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</si>
  <si>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</si>
  <si>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</si>
  <si>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</si>
  <si>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</si>
  <si>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</si>
  <si>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</si>
  <si>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</si>
  <si>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</si>
  <si>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</si>
  <si>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</si>
  <si>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</si>
  <si>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</si>
  <si>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</si>
  <si>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</si>
  <si>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</si>
  <si>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</si>
  <si>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</si>
  <si>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</si>
  <si>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</si>
  <si>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</si>
  <si>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</si>
  <si>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</si>
  <si>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</si>
  <si>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</si>
  <si>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</si>
  <si>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</si>
  <si>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</si>
  <si>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</si>
  <si>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</si>
  <si>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</si>
  <si>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</si>
  <si>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</si>
  <si>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</si>
  <si>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</si>
  <si>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</si>
  <si>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</si>
  <si>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</si>
  <si>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</si>
  <si>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</si>
  <si>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</si>
  <si>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</si>
  <si>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</si>
  <si>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</si>
  <si>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</si>
  <si>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</si>
  <si>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</si>
  <si>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</si>
  <si>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</si>
  <si>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</si>
  <si>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</si>
  <si>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</si>
  <si>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</si>
  <si>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</si>
  <si>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</si>
  <si>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</si>
  <si>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</si>
  <si>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</si>
  <si>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</si>
  <si>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</si>
  <si>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</si>
  <si>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</si>
  <si>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</si>
  <si>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</si>
  <si>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</si>
  <si>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</si>
  <si>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</si>
  <si>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</si>
  <si>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</si>
  <si>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</si>
  <si>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</si>
  <si>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</si>
  <si>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</si>
  <si>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</si>
  <si>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</si>
  <si>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</si>
  <si>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</si>
  <si>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</si>
  <si>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</si>
  <si>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</si>
  <si>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</si>
  <si>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</si>
  <si>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</si>
  <si>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</si>
  <si>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</si>
  <si>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</si>
  <si>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</si>
  <si>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</si>
  <si>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</si>
  <si>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</si>
  <si>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</si>
  <si>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</si>
  <si>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</si>
  <si>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</si>
  <si>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</si>
  <si>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</si>
  <si>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</si>
  <si>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</si>
  <si>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</si>
  <si>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</si>
  <si>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</si>
  <si>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</si>
  <si>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</si>
  <si>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</si>
  <si>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</si>
  <si>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</si>
  <si>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</si>
  <si>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</si>
  <si>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</si>
  <si>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</si>
  <si>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</si>
  <si>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</si>
  <si>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</si>
  <si>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</si>
  <si>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</si>
  <si>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</si>
  <si>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</si>
  <si>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</si>
  <si>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</si>
  <si>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</si>
  <si>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</si>
  <si>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</si>
  <si>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</si>
  <si>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</si>
  <si>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</si>
  <si>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</si>
  <si>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</si>
  <si>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</si>
  <si>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</si>
  <si>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</si>
  <si>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</si>
  <si>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</si>
  <si>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</si>
  <si>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</si>
  <si>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</si>
  <si>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</si>
  <si>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</si>
  <si>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</si>
  <si>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</si>
  <si>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</si>
  <si>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</si>
  <si>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</si>
  <si>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</si>
  <si>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</si>
  <si>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</si>
  <si>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</si>
  <si>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</si>
  <si>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</si>
  <si>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</si>
  <si>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</si>
  <si>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</si>
  <si>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</si>
  <si>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</si>
  <si>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</si>
  <si>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</si>
  <si>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</si>
  <si>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</si>
  <si>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</si>
  <si>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</si>
  <si>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</si>
  <si>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</si>
  <si>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</si>
  <si>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</si>
  <si>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</si>
  <si>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</si>
  <si>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</si>
  <si>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</si>
  <si>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</si>
  <si>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</si>
  <si>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</si>
  <si>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</si>
  <si>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</si>
  <si>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</si>
  <si>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</si>
  <si>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</si>
  <si>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</si>
  <si>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</si>
  <si>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</si>
  <si>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</si>
  <si>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</si>
  <si>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</si>
  <si>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</si>
  <si>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</si>
  <si>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</si>
  <si>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</si>
  <si>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</si>
  <si>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</si>
  <si>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</si>
  <si>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</si>
  <si>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</si>
  <si>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</si>
  <si>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</si>
  <si>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</si>
  <si>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</si>
  <si>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</si>
  <si>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</si>
  <si>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</si>
  <si>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</si>
  <si>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</si>
  <si>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</si>
  <si>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</si>
  <si>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</si>
  <si>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</si>
  <si>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</si>
  <si>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</si>
  <si>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</si>
  <si>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</si>
  <si>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</si>
  <si>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</si>
  <si>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</si>
  <si>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</si>
  <si>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</si>
  <si>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</si>
  <si>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</si>
  <si>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</si>
  <si>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</si>
  <si>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</si>
  <si>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</si>
  <si>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</si>
  <si>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</si>
  <si>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</si>
  <si>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</si>
  <si>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</si>
  <si>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</si>
  <si>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</si>
  <si>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</si>
  <si>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</si>
  <si>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</si>
  <si>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</si>
  <si>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</si>
  <si>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</si>
  <si>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</si>
  <si>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</si>
  <si>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</si>
  <si>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</si>
  <si>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</si>
  <si>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</si>
  <si>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</si>
  <si>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</si>
  <si>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</si>
  <si>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</si>
  <si>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</si>
  <si>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</si>
  <si>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</si>
  <si>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</si>
  <si>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</si>
  <si>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</si>
  <si>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</si>
  <si>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</si>
  <si>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</si>
  <si>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</si>
  <si>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</si>
  <si>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</si>
  <si>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</si>
  <si>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</si>
  <si>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</si>
  <si>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</si>
  <si>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</si>
  <si>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</si>
  <si>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</si>
  <si>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</si>
  <si>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</si>
  <si>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</si>
  <si>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</si>
  <si>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</si>
  <si>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</si>
  <si>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</si>
  <si>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</si>
  <si>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</si>
  <si>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</si>
  <si>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</si>
  <si>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</si>
  <si>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</si>
  <si>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</si>
  <si>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</si>
  <si>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</si>
  <si>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</si>
  <si>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</si>
  <si>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</si>
  <si>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</si>
  <si>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</si>
  <si>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</si>
  <si>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</si>
  <si>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</si>
  <si>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</si>
  <si>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</si>
  <si>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</si>
  <si>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</si>
  <si>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</si>
  <si>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</si>
  <si>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</si>
  <si>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</si>
  <si>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</si>
  <si>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</si>
  <si>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</si>
  <si>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</si>
  <si>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</si>
  <si>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</si>
  <si>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</si>
  <si>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</si>
  <si>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</si>
  <si>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</si>
  <si>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</si>
  <si>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</si>
  <si>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</si>
  <si>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</si>
  <si>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</si>
  <si>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</si>
  <si>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</si>
  <si>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</si>
  <si>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</si>
  <si>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</si>
  <si>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</si>
  <si>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</si>
  <si>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</si>
  <si>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</si>
  <si>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</si>
  <si>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</si>
  <si>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</si>
  <si>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</si>
  <si>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</si>
  <si>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</si>
  <si>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</si>
  <si>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</si>
  <si>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</si>
  <si>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</si>
  <si>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</si>
  <si>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</si>
  <si>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</si>
  <si>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</si>
  <si>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</si>
  <si>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</si>
  <si>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</si>
  <si>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</si>
  <si>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</si>
  <si>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</si>
  <si>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</si>
  <si>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</si>
  <si>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</si>
  <si>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</si>
  <si>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</si>
  <si>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</si>
  <si>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</si>
  <si>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</si>
  <si>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</si>
  <si>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</si>
  <si>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</si>
  <si>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</si>
  <si>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</si>
  <si>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</si>
  <si>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</si>
  <si>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</si>
  <si>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</si>
  <si>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</si>
  <si>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</si>
  <si>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</si>
  <si>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</si>
  <si>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</si>
  <si>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</si>
  <si>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</si>
  <si>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</si>
  <si>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</si>
  <si>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</si>
  <si>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</si>
  <si>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</si>
  <si>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</si>
  <si>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</si>
  <si>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</si>
  <si>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</si>
  <si>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</si>
  <si>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</si>
  <si>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</si>
  <si>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</si>
  <si>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</si>
  <si>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</si>
  <si>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</si>
  <si>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</si>
  <si>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</si>
  <si>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</si>
  <si>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</si>
  <si>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</si>
  <si>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</si>
  <si>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</si>
  <si>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</si>
  <si>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</si>
  <si>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</si>
  <si>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</si>
  <si>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</si>
  <si>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</si>
  <si>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</si>
  <si>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</si>
  <si>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</si>
  <si>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</si>
  <si>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</si>
  <si>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</si>
  <si>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</si>
  <si>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</si>
  <si>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</si>
  <si>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</si>
  <si>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</si>
  <si>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</si>
  <si>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</si>
  <si>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</si>
  <si>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</si>
  <si>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</si>
  <si>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</si>
  <si>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</si>
  <si>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</si>
  <si>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</si>
  <si>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</si>
  <si>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</si>
  <si>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</si>
  <si>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</si>
  <si>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</si>
  <si>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</si>
  <si>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</si>
  <si>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</si>
  <si>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</si>
  <si>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</si>
  <si>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</si>
  <si>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</si>
  <si>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</si>
  <si>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</si>
  <si>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</si>
  <si>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</si>
  <si>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</si>
  <si>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</si>
  <si>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</si>
  <si>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</si>
  <si>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</si>
  <si>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</si>
  <si>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</si>
  <si>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</si>
  <si>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</si>
  <si>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</si>
  <si>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</si>
  <si>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</si>
  <si>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</si>
  <si>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</si>
  <si>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</si>
  <si>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</si>
  <si>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</si>
  <si>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</si>
  <si>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</si>
  <si>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</si>
  <si>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</si>
  <si>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</si>
  <si>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</si>
  <si>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</si>
  <si>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</si>
  <si>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</si>
  <si>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</si>
  <si>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</si>
  <si>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</si>
  <si>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</si>
  <si>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</si>
  <si>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</si>
  <si>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</si>
  <si>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</si>
  <si>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</si>
  <si>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</si>
  <si>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</si>
  <si>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</si>
  <si>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</si>
  <si>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</si>
  <si>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</si>
  <si>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</si>
  <si>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</si>
  <si>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</si>
  <si>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</si>
  <si>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</si>
  <si>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</si>
  <si>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</si>
  <si>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</si>
  <si>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</si>
  <si>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</si>
  <si>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</si>
  <si>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</si>
  <si>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</si>
  <si>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</si>
  <si>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</si>
  <si>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</si>
  <si>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</si>
  <si>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</si>
  <si>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</si>
  <si>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</si>
  <si>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</si>
  <si>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</si>
  <si>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</si>
  <si>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</si>
  <si>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</si>
  <si>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</si>
  <si>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</si>
  <si>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</si>
  <si>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</si>
  <si>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</si>
  <si>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</si>
  <si>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</si>
  <si>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</si>
  <si>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</si>
  <si>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</si>
  <si>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</si>
  <si>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</si>
  <si>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</si>
  <si>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</si>
  <si>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</si>
  <si>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</si>
  <si>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</si>
  <si>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</si>
  <si>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</si>
  <si>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</si>
  <si>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</si>
  <si>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</si>
  <si>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</si>
  <si>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</si>
  <si>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</si>
  <si>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</si>
  <si>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</si>
  <si>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</si>
  <si>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</si>
  <si>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</si>
  <si>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</si>
  <si>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</si>
  <si>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</si>
  <si>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</si>
  <si>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</si>
  <si>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</si>
  <si>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</si>
  <si>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</si>
  <si>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</si>
  <si>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</si>
  <si>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</si>
  <si>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</si>
  <si>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</si>
  <si>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</si>
  <si>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</si>
  <si>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</si>
  <si>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</si>
  <si>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</si>
  <si>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</si>
  <si>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</si>
  <si>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</si>
  <si>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</si>
  <si>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</si>
  <si>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</si>
  <si>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</si>
  <si>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</si>
  <si>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</si>
  <si>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</si>
  <si>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</si>
  <si>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</si>
  <si>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</si>
  <si>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</si>
  <si>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</si>
  <si>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</si>
  <si>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</si>
  <si>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</si>
  <si>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</si>
  <si>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</si>
  <si>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</si>
  <si>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</si>
  <si>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</si>
  <si>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</si>
  <si>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</si>
  <si>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</si>
  <si>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</si>
  <si>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</si>
  <si>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</si>
  <si>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</si>
  <si>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</si>
  <si>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</si>
  <si>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</si>
  <si>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</si>
  <si>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</si>
  <si>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</si>
  <si>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</si>
  <si>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</si>
  <si>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</si>
  <si>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</si>
  <si>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</si>
  <si>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</si>
  <si>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</si>
  <si>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</si>
  <si>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</si>
  <si>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</si>
  <si>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</si>
  <si>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</si>
  <si>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</si>
  <si>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</si>
  <si>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</si>
  <si>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</si>
  <si>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</si>
  <si>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</si>
  <si>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</si>
  <si>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</si>
  <si>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</si>
  <si>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</si>
  <si>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</si>
  <si>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</si>
  <si>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</si>
  <si>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</si>
  <si>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</si>
  <si>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</si>
  <si>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</si>
  <si>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</si>
  <si>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</si>
  <si>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</si>
  <si>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</si>
  <si>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</si>
  <si>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</si>
  <si>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</si>
  <si>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</si>
  <si>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</si>
  <si>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</si>
  <si>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</si>
  <si>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</si>
  <si>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</si>
  <si>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</si>
  <si>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</si>
  <si>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</si>
  <si>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</si>
  <si>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</si>
  <si>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</si>
  <si>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</si>
  <si>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</si>
  <si>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</si>
  <si>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</si>
  <si>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</si>
  <si>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</si>
  <si>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</si>
  <si>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</si>
  <si>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</si>
  <si>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</si>
  <si>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</si>
  <si>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</si>
  <si>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</si>
  <si>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</si>
  <si>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</si>
  <si>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</si>
  <si>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</si>
  <si>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</si>
  <si>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</si>
  <si>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</si>
  <si>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</si>
  <si>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</si>
  <si>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</si>
  <si>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</si>
  <si>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</si>
  <si>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</si>
  <si>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</si>
  <si>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</si>
  <si>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</si>
  <si>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</si>
  <si>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</si>
  <si>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</si>
  <si>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</si>
  <si>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</si>
  <si>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</si>
  <si>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</si>
  <si>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</si>
  <si>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</si>
  <si>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</si>
  <si>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</si>
  <si>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</si>
  <si>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</si>
  <si>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</si>
  <si>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</si>
  <si>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</si>
  <si>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</si>
  <si>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</si>
  <si>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</si>
  <si>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</si>
  <si>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</si>
  <si>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</si>
  <si>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</si>
  <si>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</si>
  <si>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</si>
  <si>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</si>
  <si>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</si>
  <si>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</si>
  <si>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</si>
  <si>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</si>
  <si>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</si>
  <si>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</si>
  <si>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</si>
  <si>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</si>
  <si>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</si>
  <si>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</si>
  <si>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</si>
  <si>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</si>
  <si>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</si>
  <si>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</si>
  <si>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</si>
  <si>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</si>
  <si>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</si>
  <si>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</si>
  <si>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</si>
  <si>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</si>
  <si>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</si>
  <si>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</si>
  <si>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</si>
  <si>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</si>
  <si>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</si>
  <si>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</si>
  <si>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</si>
  <si>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</si>
  <si>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</si>
  <si>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</si>
  <si>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</si>
  <si>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</si>
  <si>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</si>
  <si>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</si>
  <si>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</si>
  <si>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</si>
  <si>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</si>
  <si>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</si>
  <si>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</si>
  <si>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</si>
  <si>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</si>
  <si>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</si>
  <si>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</si>
  <si>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</si>
  <si>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</si>
  <si>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</si>
  <si>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</si>
  <si>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</si>
  <si>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</si>
  <si>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</si>
  <si>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</si>
  <si>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</si>
  <si>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</si>
  <si>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</si>
  <si>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</si>
  <si>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</si>
  <si>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</si>
  <si>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</si>
  <si>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</si>
  <si>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</si>
  <si>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</si>
  <si>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</si>
  <si>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</si>
  <si>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</si>
  <si>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</si>
  <si>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</si>
  <si>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</si>
  <si>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</si>
  <si>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</si>
  <si>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</si>
  <si>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</si>
  <si>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</si>
  <si>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</si>
  <si>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</si>
  <si>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</si>
  <si>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</si>
  <si>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</si>
  <si>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</si>
  <si>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</si>
  <si>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</si>
  <si>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</si>
  <si>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</si>
  <si>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</si>
  <si>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</si>
  <si>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</si>
  <si>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</si>
  <si>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</si>
  <si>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</si>
  <si>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</si>
  <si>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</si>
  <si>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</si>
  <si>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</si>
  <si>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</si>
  <si>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</si>
  <si>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</si>
  <si>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</si>
  <si>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</si>
  <si>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</si>
  <si>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</si>
  <si>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</si>
  <si>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</si>
  <si>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</si>
  <si>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</si>
  <si>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</si>
  <si>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</si>
  <si>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</si>
  <si>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</si>
  <si>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</si>
  <si>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</si>
  <si>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</si>
  <si>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</si>
  <si>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</si>
  <si>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</si>
  <si>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</si>
  <si>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</si>
  <si>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</si>
  <si>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New Boston School District</t>
  </si>
  <si>
    <t>$100,000 of the $220,000 trust fund deposit made in the year was from an amount carried over from 2010-11</t>
  </si>
  <si>
    <t>$100,000 of the $220,000 trust fund deposit made in the year was from an amount carried over from 2010-11. Item shown</t>
  </si>
  <si>
    <t xml:space="preserve">as an "Other Addition"  in order to address the DRA request to reflect only the $120,000 transfer authorized by district </t>
  </si>
  <si>
    <t>voters for capital reserve fund deposit in 2011-2012 (as discussed with DOE and DRA representatives on October 16, 2012).</t>
  </si>
  <si>
    <t>Line is adjusted to reflect special education education Transition / Vocational programs  and support costs  chargeable</t>
  </si>
  <si>
    <t>on tuition)</t>
  </si>
  <si>
    <t xml:space="preserve">via tuition at the High school level. Middle school amount on Page 8, Line 2 was for student aide services only (no effect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</si>
</sst>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/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1262154</v>
      </c>
      <c r="G9" s="18">
        <v>10691</v>
      </c>
      <c r="H9" s="18">
        <v>0</v>
      </c>
      <c r="I9" s="18">
        <v>15305</v>
      </c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120000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14590</v>
      </c>
      <c r="G12" s="18"/>
      <c r="H12" s="18"/>
      <c r="I12" s="18"/>
      <c r="J12" s="67">
        <f>SUM(I440)</f>
        <v>100000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>
        <v>21700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1026+62</f>
        <v>1088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4298</v>
      </c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10954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1293084</v>
      </c>
      <c r="G19" s="41">
        <f>SUM(G9:G18)</f>
        <v>10691</v>
      </c>
      <c r="H19" s="41">
        <f>SUM(H9:H18)</f>
        <v>21700</v>
      </c>
      <c r="I19" s="41">
        <f>SUM(I9:I18)</f>
        <v>15305</v>
      </c>
      <c r="J19" s="41">
        <f>SUM(J9:J18)</f>
        <v>220000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14476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430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123992-370</f>
        <v>123622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18002+1377+1584</f>
        <v>20963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1026-62+353</f>
        <v>1317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6794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145902</v>
      </c>
      <c r="G32" s="41">
        <f>SUM(G22:G31)</f>
        <v>0</v>
      </c>
      <c r="H32" s="41">
        <f>SUM(H22:H31)</f>
        <v>21700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4298</v>
      </c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5771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120000</v>
      </c>
      <c r="G47" s="18">
        <v>10380</v>
      </c>
      <c r="H47" s="18"/>
      <c r="I47" s="18"/>
      <c r="J47" s="13">
        <f>SUM(I458)</f>
        <v>120000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345981</v>
      </c>
      <c r="G48" s="18">
        <v>311</v>
      </c>
      <c r="H48" s="18"/>
      <c r="I48" s="18">
        <v>15305</v>
      </c>
      <c r="J48" s="13">
        <f>I453</f>
        <v>100000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796728-125596</f>
        <v>671132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1147182</v>
      </c>
      <c r="G50" s="41">
        <f>SUM(G35:G49)</f>
        <v>10691</v>
      </c>
      <c r="H50" s="41">
        <f>SUM(H35:H49)</f>
        <v>0</v>
      </c>
      <c r="I50" s="41">
        <f>SUM(I35:I49)</f>
        <v>15305</v>
      </c>
      <c r="J50" s="41">
        <f>SUM(J35:J49)</f>
        <v>220000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1293084</v>
      </c>
      <c r="G51" s="41">
        <f>G50+G32</f>
        <v>10691</v>
      </c>
      <c r="H51" s="41">
        <f>H50+H32</f>
        <v>21700</v>
      </c>
      <c r="I51" s="41">
        <f>I50+I32</f>
        <v>15305</v>
      </c>
      <c r="J51" s="41">
        <f>J50+J32</f>
        <v>220000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7536275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7536275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3893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3893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/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1753</v>
      </c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80409+6180+1920+29269+311</f>
        <v>118089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8130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672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443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2868</v>
      </c>
      <c r="G110" s="41">
        <f>SUM(G95:G109)</f>
        <v>118089</v>
      </c>
      <c r="H110" s="41">
        <f>SUM(H95:H109)</f>
        <v>8130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7543036</v>
      </c>
      <c r="G111" s="41">
        <f>G59+G110</f>
        <v>118089</v>
      </c>
      <c r="H111" s="41">
        <f>H59+H78+H93+H110</f>
        <v>8130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2216296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1279374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1920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9403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3506993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3960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1803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3960</v>
      </c>
      <c r="G135" s="41">
        <f>SUM(G122:G134)</f>
        <v>1803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3510953</v>
      </c>
      <c r="G139" s="41">
        <f>G120+SUM(G135:G136)</f>
        <v>1803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25881</v>
      </c>
      <c r="G149" s="24" t="s">
        <v>289</v>
      </c>
      <c r="H149" s="18">
        <v>25881</v>
      </c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51553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17633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36402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75518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137801</v>
      </c>
      <c r="G161" s="41">
        <f>SUM(G149:G160)</f>
        <v>17633</v>
      </c>
      <c r="H161" s="41">
        <f>SUM(H149:H160)</f>
        <v>77434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>
        <v>8902</v>
      </c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137801</v>
      </c>
      <c r="G168" s="41">
        <f>G146+G161+SUM(G162:G167)</f>
        <v>26535</v>
      </c>
      <c r="H168" s="41">
        <f>H146+H161+SUM(H162:H167)</f>
        <v>77434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120000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120000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120000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11191790</v>
      </c>
      <c r="G192" s="47">
        <f>G111+G139+G168+G191</f>
        <v>146427</v>
      </c>
      <c r="H192" s="47">
        <f>H111+H139+H168+H191</f>
        <v>85564</v>
      </c>
      <c r="I192" s="47">
        <f>I111+I139+I168+I191</f>
        <v>0</v>
      </c>
      <c r="J192" s="47">
        <f>J111+J139+J191</f>
        <v>120000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1670115</v>
      </c>
      <c r="G196" s="18">
        <v>758822</v>
      </c>
      <c r="H196" s="18">
        <v>20946</v>
      </c>
      <c r="I196" s="18">
        <f>93443+1035+555</f>
        <v>95033</v>
      </c>
      <c r="J196" s="18">
        <v>34461</v>
      </c>
      <c r="K196" s="18">
        <v>135</v>
      </c>
      <c r="L196" s="19">
        <f>SUM(F196:K196)</f>
        <v>2579512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682662</v>
      </c>
      <c r="G197" s="18">
        <v>380972</v>
      </c>
      <c r="H197" s="18">
        <v>11264</v>
      </c>
      <c r="I197" s="18">
        <v>4062</v>
      </c>
      <c r="J197" s="18">
        <v>6513</v>
      </c>
      <c r="K197" s="18"/>
      <c r="L197" s="19">
        <f>SUM(F197:K197)</f>
        <v>1085473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39413</v>
      </c>
      <c r="G199" s="18">
        <v>6731</v>
      </c>
      <c r="H199" s="18"/>
      <c r="I199" s="18"/>
      <c r="J199" s="18"/>
      <c r="K199" s="18"/>
      <c r="L199" s="19">
        <f>SUM(F199:K199)</f>
        <v>46144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254951</v>
      </c>
      <c r="G201" s="18">
        <v>104890</v>
      </c>
      <c r="H201" s="18">
        <v>87340</v>
      </c>
      <c r="I201" s="18">
        <v>2348</v>
      </c>
      <c r="J201" s="18"/>
      <c r="K201" s="18"/>
      <c r="L201" s="19">
        <f t="shared" ref="L201:L207" si="0">SUM(F201:K201)</f>
        <v>449529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77303</v>
      </c>
      <c r="G202" s="18">
        <v>34110</v>
      </c>
      <c r="H202" s="18">
        <v>3198</v>
      </c>
      <c r="I202" s="18">
        <v>24094</v>
      </c>
      <c r="J202" s="18"/>
      <c r="K202" s="18">
        <v>180</v>
      </c>
      <c r="L202" s="19">
        <f t="shared" si="0"/>
        <v>138885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4435</v>
      </c>
      <c r="G203" s="18">
        <v>358</v>
      </c>
      <c r="H203" s="18">
        <v>311864</v>
      </c>
      <c r="I203" s="18">
        <v>442</v>
      </c>
      <c r="J203" s="18"/>
      <c r="K203" s="18">
        <v>4088</v>
      </c>
      <c r="L203" s="19">
        <f t="shared" si="0"/>
        <v>321187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232450</v>
      </c>
      <c r="G204" s="18">
        <v>93471</v>
      </c>
      <c r="H204" s="18">
        <v>12703</v>
      </c>
      <c r="I204" s="18">
        <v>180</v>
      </c>
      <c r="J204" s="18"/>
      <c r="K204" s="18">
        <v>1440</v>
      </c>
      <c r="L204" s="19">
        <f t="shared" si="0"/>
        <v>340244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>
        <v>-4987</v>
      </c>
      <c r="H205" s="18"/>
      <c r="I205" s="18"/>
      <c r="J205" s="18"/>
      <c r="K205" s="18"/>
      <c r="L205" s="19">
        <f t="shared" si="0"/>
        <v>-4987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145356</v>
      </c>
      <c r="G206" s="18">
        <v>46528</v>
      </c>
      <c r="H206" s="18">
        <v>121467</v>
      </c>
      <c r="I206" s="18">
        <f>146411+7500</f>
        <v>153911</v>
      </c>
      <c r="J206" s="18">
        <v>1596</v>
      </c>
      <c r="K206" s="18"/>
      <c r="L206" s="19">
        <f t="shared" si="0"/>
        <v>468858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479322</v>
      </c>
      <c r="I207" s="18"/>
      <c r="J207" s="18"/>
      <c r="K207" s="18"/>
      <c r="L207" s="19">
        <f t="shared" si="0"/>
        <v>479322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3106685</v>
      </c>
      <c r="G210" s="41">
        <f t="shared" si="1"/>
        <v>1420895</v>
      </c>
      <c r="H210" s="41">
        <f t="shared" si="1"/>
        <v>1048104</v>
      </c>
      <c r="I210" s="41">
        <f t="shared" si="1"/>
        <v>280070</v>
      </c>
      <c r="J210" s="41">
        <f t="shared" si="1"/>
        <v>42570</v>
      </c>
      <c r="K210" s="41">
        <f t="shared" si="1"/>
        <v>5843</v>
      </c>
      <c r="L210" s="41">
        <f t="shared" si="1"/>
        <v>5904167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f>1254985+89042</f>
        <v>1344027</v>
      </c>
      <c r="I214" s="18"/>
      <c r="J214" s="18"/>
      <c r="K214" s="18"/>
      <c r="L214" s="19">
        <f>SUM(F214:K214)</f>
        <v>1344027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f>58281+419</f>
        <v>58700</v>
      </c>
      <c r="I215" s="18"/>
      <c r="J215" s="18"/>
      <c r="K215" s="18"/>
      <c r="L215" s="19">
        <f>SUM(F215:K215)</f>
        <v>58700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8286</v>
      </c>
      <c r="I225" s="18"/>
      <c r="J225" s="18"/>
      <c r="K225" s="18"/>
      <c r="L225" s="19">
        <f t="shared" si="2"/>
        <v>8286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1411013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1411013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2900790+177895</f>
        <v>3078685</v>
      </c>
      <c r="I232" s="18"/>
      <c r="J232" s="18"/>
      <c r="K232" s="18"/>
      <c r="L232" s="19">
        <f>SUM(F232:K232)</f>
        <v>3078685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439239</v>
      </c>
      <c r="I233" s="18"/>
      <c r="J233" s="18"/>
      <c r="K233" s="18"/>
      <c r="L233" s="19">
        <f>SUM(F233:K233)</f>
        <v>439239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80102</v>
      </c>
      <c r="I243" s="18"/>
      <c r="J243" s="18"/>
      <c r="K243" s="18"/>
      <c r="L243" s="19">
        <f t="shared" si="4"/>
        <v>80102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3598026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3598026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3106685</v>
      </c>
      <c r="G256" s="41">
        <f t="shared" si="8"/>
        <v>1420895</v>
      </c>
      <c r="H256" s="41">
        <f t="shared" si="8"/>
        <v>6057143</v>
      </c>
      <c r="I256" s="41">
        <f t="shared" si="8"/>
        <v>280070</v>
      </c>
      <c r="J256" s="41">
        <f t="shared" si="8"/>
        <v>42570</v>
      </c>
      <c r="K256" s="41">
        <f t="shared" si="8"/>
        <v>5843</v>
      </c>
      <c r="L256" s="41">
        <f t="shared" si="8"/>
        <v>10913206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120000</v>
      </c>
      <c r="L265" s="19">
        <f t="shared" si="9"/>
        <v>120000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120000</v>
      </c>
      <c r="L269" s="41">
        <f t="shared" si="9"/>
        <v>120000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3106685</v>
      </c>
      <c r="G270" s="42">
        <f t="shared" si="11"/>
        <v>1420895</v>
      </c>
      <c r="H270" s="42">
        <f t="shared" si="11"/>
        <v>6057143</v>
      </c>
      <c r="I270" s="42">
        <f t="shared" si="11"/>
        <v>280070</v>
      </c>
      <c r="J270" s="42">
        <f t="shared" si="11"/>
        <v>42570</v>
      </c>
      <c r="K270" s="42">
        <f t="shared" si="11"/>
        <v>125843</v>
      </c>
      <c r="L270" s="42">
        <f t="shared" si="11"/>
        <v>11033206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2522</v>
      </c>
      <c r="G275" s="18">
        <v>478</v>
      </c>
      <c r="H275" s="18"/>
      <c r="I275" s="18">
        <v>475</v>
      </c>
      <c r="J275" s="18">
        <v>61552</v>
      </c>
      <c r="K275" s="18">
        <v>648</v>
      </c>
      <c r="L275" s="19">
        <f>SUM(F275:K275)</f>
        <v>65675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20982</v>
      </c>
      <c r="G276" s="18">
        <v>3645</v>
      </c>
      <c r="H276" s="18"/>
      <c r="I276" s="18"/>
      <c r="J276" s="18"/>
      <c r="K276" s="18"/>
      <c r="L276" s="19">
        <f>SUM(F276:K276)</f>
        <v>24627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4500</v>
      </c>
      <c r="G278" s="18">
        <v>972</v>
      </c>
      <c r="H278" s="18"/>
      <c r="I278" s="18">
        <v>307</v>
      </c>
      <c r="J278" s="18"/>
      <c r="K278" s="18">
        <v>300</v>
      </c>
      <c r="L278" s="19">
        <f>SUM(F278:K278)</f>
        <v>6079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782</v>
      </c>
      <c r="I280" s="18">
        <v>344</v>
      </c>
      <c r="J280" s="18">
        <v>510</v>
      </c>
      <c r="K280" s="18"/>
      <c r="L280" s="19">
        <f t="shared" ref="L280:L286" si="12">SUM(F280:K280)</f>
        <v>1636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496</v>
      </c>
      <c r="G281" s="18">
        <v>75</v>
      </c>
      <c r="H281" s="18">
        <f>11009+5346</f>
        <v>16355</v>
      </c>
      <c r="I281" s="18">
        <v>519</v>
      </c>
      <c r="J281" s="18"/>
      <c r="K281" s="18"/>
      <c r="L281" s="19">
        <f t="shared" si="12"/>
        <v>17445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758</v>
      </c>
      <c r="L284" s="19">
        <f t="shared" si="12"/>
        <v>758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300</v>
      </c>
      <c r="I286" s="18"/>
      <c r="J286" s="18"/>
      <c r="K286" s="18"/>
      <c r="L286" s="19">
        <f t="shared" si="12"/>
        <v>300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28500</v>
      </c>
      <c r="G289" s="42">
        <f t="shared" si="13"/>
        <v>5170</v>
      </c>
      <c r="H289" s="42">
        <f t="shared" si="13"/>
        <v>17437</v>
      </c>
      <c r="I289" s="42">
        <f t="shared" si="13"/>
        <v>1645</v>
      </c>
      <c r="J289" s="42">
        <f t="shared" si="13"/>
        <v>62062</v>
      </c>
      <c r="K289" s="42">
        <f t="shared" si="13"/>
        <v>1706</v>
      </c>
      <c r="L289" s="41">
        <f t="shared" si="13"/>
        <v>116520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28500</v>
      </c>
      <c r="G337" s="41">
        <f t="shared" si="20"/>
        <v>5170</v>
      </c>
      <c r="H337" s="41">
        <f t="shared" si="20"/>
        <v>17437</v>
      </c>
      <c r="I337" s="41">
        <f t="shared" si="20"/>
        <v>1645</v>
      </c>
      <c r="J337" s="41">
        <f t="shared" si="20"/>
        <v>62062</v>
      </c>
      <c r="K337" s="41">
        <f t="shared" si="20"/>
        <v>1706</v>
      </c>
      <c r="L337" s="41">
        <f t="shared" si="20"/>
        <v>116520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28500</v>
      </c>
      <c r="G351" s="41">
        <f>G337</f>
        <v>5170</v>
      </c>
      <c r="H351" s="41">
        <f>H337</f>
        <v>17437</v>
      </c>
      <c r="I351" s="41">
        <f>I337</f>
        <v>1645</v>
      </c>
      <c r="J351" s="41">
        <f>J337</f>
        <v>62062</v>
      </c>
      <c r="K351" s="47">
        <f>K337+K350</f>
        <v>1706</v>
      </c>
      <c r="L351" s="41">
        <f>L337+L350</f>
        <v>116520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43963</v>
      </c>
      <c r="G357" s="18">
        <v>6577</v>
      </c>
      <c r="H357" s="18">
        <v>2730</v>
      </c>
      <c r="I357" s="18">
        <v>81183</v>
      </c>
      <c r="J357" s="18">
        <v>1261</v>
      </c>
      <c r="K357" s="18">
        <v>22</v>
      </c>
      <c r="L357" s="13">
        <f>SUM(F357:K357)</f>
        <v>135736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43963</v>
      </c>
      <c r="G361" s="47">
        <f t="shared" si="22"/>
        <v>6577</v>
      </c>
      <c r="H361" s="47">
        <f t="shared" si="22"/>
        <v>2730</v>
      </c>
      <c r="I361" s="47">
        <f t="shared" si="22"/>
        <v>81183</v>
      </c>
      <c r="J361" s="47">
        <f t="shared" si="22"/>
        <v>1261</v>
      </c>
      <c r="K361" s="47">
        <f t="shared" si="22"/>
        <v>22</v>
      </c>
      <c r="L361" s="47">
        <f t="shared" si="22"/>
        <v>135736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75318</v>
      </c>
      <c r="G366" s="18"/>
      <c r="H366" s="18"/>
      <c r="I366" s="56">
        <f>SUM(F366:H366)</f>
        <v>75318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5865</v>
      </c>
      <c r="G367" s="63"/>
      <c r="H367" s="63"/>
      <c r="I367" s="56">
        <f>SUM(F367:H367)</f>
        <v>5865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81183</v>
      </c>
      <c r="G368" s="47">
        <f>SUM(G366:G367)</f>
        <v>0</v>
      </c>
      <c r="H368" s="47">
        <f>SUM(H366:H367)</f>
        <v>0</v>
      </c>
      <c r="I368" s="47">
        <f>SUM(I366:I367)</f>
        <v>81183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100000</v>
      </c>
      <c r="H388" s="18"/>
      <c r="I388" s="18"/>
      <c r="J388" s="24" t="s">
        <v>289</v>
      </c>
      <c r="K388" s="24" t="s">
        <v>289</v>
      </c>
      <c r="L388" s="56">
        <f t="shared" si="25"/>
        <v>100000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100000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100000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20000</v>
      </c>
      <c r="H396" s="18"/>
      <c r="I396" s="18"/>
      <c r="J396" s="24" t="s">
        <v>289</v>
      </c>
      <c r="K396" s="24" t="s">
        <v>289</v>
      </c>
      <c r="L396" s="56">
        <f t="shared" si="26"/>
        <v>20000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20000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20000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120000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120000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120000</v>
      </c>
      <c r="G439" s="18"/>
      <c r="H439" s="18"/>
      <c r="I439" s="56">
        <f t="shared" si="33"/>
        <v>120000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100000</v>
      </c>
      <c r="G440" s="18"/>
      <c r="H440" s="18"/>
      <c r="I440" s="56">
        <f t="shared" si="33"/>
        <v>100000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220000</v>
      </c>
      <c r="G445" s="13">
        <f>SUM(G438:G444)</f>
        <v>0</v>
      </c>
      <c r="H445" s="13">
        <f>SUM(H438:H444)</f>
        <v>0</v>
      </c>
      <c r="I445" s="13">
        <f>SUM(I438:I444)</f>
        <v>220000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>
        <v>100000</v>
      </c>
      <c r="G453" s="18"/>
      <c r="H453" s="18"/>
      <c r="I453" s="56">
        <f t="shared" ref="I453:I458" si="34">SUM(F453:H453)</f>
        <v>100000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120000</v>
      </c>
      <c r="G458" s="18"/>
      <c r="H458" s="18"/>
      <c r="I458" s="56">
        <f t="shared" si="34"/>
        <v>120000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220000</v>
      </c>
      <c r="G459" s="83">
        <f>SUM(G453:G458)</f>
        <v>0</v>
      </c>
      <c r="H459" s="83">
        <f>SUM(H453:H458)</f>
        <v>0</v>
      </c>
      <c r="I459" s="83">
        <f>SUM(I453:I458)</f>
        <v>220000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220000</v>
      </c>
      <c r="G460" s="42">
        <f>G451+G459</f>
        <v>0</v>
      </c>
      <c r="H460" s="42">
        <f>H451+H459</f>
        <v>0</v>
      </c>
      <c r="I460" s="42">
        <f>I451+I459</f>
        <v>220000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f>1114194-125596</f>
        <v>988598</v>
      </c>
      <c r="G464" s="18">
        <v>0</v>
      </c>
      <c r="H464" s="18">
        <v>30956</v>
      </c>
      <c r="I464" s="18">
        <v>15305</v>
      </c>
      <c r="J464" s="18">
        <v>0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11191790</v>
      </c>
      <c r="G467" s="18">
        <f>G192</f>
        <v>146427</v>
      </c>
      <c r="H467" s="18">
        <f>H192</f>
        <v>85564</v>
      </c>
      <c r="I467" s="18">
        <f>I192</f>
        <v>0</v>
      </c>
      <c r="J467" s="18">
        <v>120000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>
        <v>100000</v>
      </c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11191790</v>
      </c>
      <c r="G469" s="53">
        <f>SUM(G467:G468)</f>
        <v>146427</v>
      </c>
      <c r="H469" s="53">
        <f>SUM(H467:H468)</f>
        <v>85564</v>
      </c>
      <c r="I469" s="53">
        <f>SUM(I467:I468)</f>
        <v>0</v>
      </c>
      <c r="J469" s="53">
        <f>SUM(J467:J468)</f>
        <v>220000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11033206</v>
      </c>
      <c r="G471" s="18">
        <f>L361</f>
        <v>135736</v>
      </c>
      <c r="H471" s="18">
        <v>116520</v>
      </c>
      <c r="I471" s="18">
        <f>L381</f>
        <v>0</v>
      </c>
      <c r="J471" s="18">
        <f>L433</f>
        <v>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11033206</v>
      </c>
      <c r="G473" s="53">
        <f>SUM(G471:G472)</f>
        <v>135736</v>
      </c>
      <c r="H473" s="53">
        <f>SUM(H471:H472)</f>
        <v>116520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1147182</v>
      </c>
      <c r="G475" s="53">
        <f>(G464+G469)- G473</f>
        <v>10691</v>
      </c>
      <c r="H475" s="53">
        <f>(H464+H469)- H473</f>
        <v>0</v>
      </c>
      <c r="I475" s="53">
        <f>(I464+I469)- I473</f>
        <v>15305</v>
      </c>
      <c r="J475" s="53">
        <f>(J464+J469)- J473</f>
        <v>220000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271" t="s">
        <v>910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682662</v>
      </c>
      <c r="G520" s="18">
        <v>380972</v>
      </c>
      <c r="H520" s="18">
        <v>11264</v>
      </c>
      <c r="I520" s="18">
        <f>4062+419</f>
        <v>4481</v>
      </c>
      <c r="J520" s="18">
        <v>6513</v>
      </c>
      <c r="K520" s="18"/>
      <c r="L520" s="88">
        <f>SUM(F520:K520)</f>
        <v>1085892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58281</v>
      </c>
      <c r="I521" s="18"/>
      <c r="J521" s="18"/>
      <c r="K521" s="18"/>
      <c r="L521" s="88">
        <f>SUM(F521:K521)</f>
        <v>58281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f>439239+555</f>
        <v>439794</v>
      </c>
      <c r="I522" s="18"/>
      <c r="J522" s="18"/>
      <c r="K522" s="18"/>
      <c r="L522" s="88">
        <f>SUM(F522:K522)</f>
        <v>439794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682662</v>
      </c>
      <c r="G523" s="108">
        <f t="shared" ref="G523:L523" si="36">SUM(G520:G522)</f>
        <v>380972</v>
      </c>
      <c r="H523" s="108">
        <f t="shared" si="36"/>
        <v>509339</v>
      </c>
      <c r="I523" s="108">
        <f t="shared" si="36"/>
        <v>4481</v>
      </c>
      <c r="J523" s="108">
        <f t="shared" si="36"/>
        <v>6513</v>
      </c>
      <c r="K523" s="108">
        <f t="shared" si="36"/>
        <v>0</v>
      </c>
      <c r="L523" s="89">
        <f t="shared" si="36"/>
        <v>1583967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136136</v>
      </c>
      <c r="G525" s="18">
        <v>72141</v>
      </c>
      <c r="H525" s="18">
        <v>14109</v>
      </c>
      <c r="I525" s="18">
        <v>916</v>
      </c>
      <c r="J525" s="18"/>
      <c r="K525" s="18"/>
      <c r="L525" s="88">
        <f>SUM(F525:K525)</f>
        <v>223302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136136</v>
      </c>
      <c r="G528" s="89">
        <f t="shared" ref="G528:L528" si="37">SUM(G525:G527)</f>
        <v>72141</v>
      </c>
      <c r="H528" s="89">
        <f t="shared" si="37"/>
        <v>14109</v>
      </c>
      <c r="I528" s="89">
        <f t="shared" si="37"/>
        <v>916</v>
      </c>
      <c r="J528" s="89">
        <f t="shared" si="37"/>
        <v>0</v>
      </c>
      <c r="K528" s="89">
        <f t="shared" si="37"/>
        <v>0</v>
      </c>
      <c r="L528" s="89">
        <f t="shared" si="37"/>
        <v>223302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65761</v>
      </c>
      <c r="G530" s="18">
        <v>40978</v>
      </c>
      <c r="H530" s="18"/>
      <c r="I530" s="18"/>
      <c r="J530" s="18"/>
      <c r="K530" s="18"/>
      <c r="L530" s="88">
        <f>SUM(F530:K530)</f>
        <v>106739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65761</v>
      </c>
      <c r="G533" s="89">
        <f t="shared" ref="G533:L533" si="38">SUM(G530:G532)</f>
        <v>40978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106739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392</v>
      </c>
      <c r="I535" s="18"/>
      <c r="J535" s="18"/>
      <c r="K535" s="18"/>
      <c r="L535" s="88">
        <f>SUM(F535:K535)</f>
        <v>392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392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392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49999</v>
      </c>
      <c r="I540" s="18"/>
      <c r="J540" s="18"/>
      <c r="K540" s="18"/>
      <c r="L540" s="88">
        <f>SUM(F540:K540)</f>
        <v>49999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8286</v>
      </c>
      <c r="I541" s="18"/>
      <c r="J541" s="18"/>
      <c r="K541" s="18"/>
      <c r="L541" s="88">
        <f>SUM(F541:K541)</f>
        <v>8286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80102</v>
      </c>
      <c r="I542" s="18"/>
      <c r="J542" s="18"/>
      <c r="K542" s="18"/>
      <c r="L542" s="88">
        <f>SUM(F542:K542)</f>
        <v>80102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138387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138387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884559</v>
      </c>
      <c r="G544" s="89">
        <f t="shared" ref="G544:L544" si="41">G523+G528+G533+G538+G543</f>
        <v>494091</v>
      </c>
      <c r="H544" s="89">
        <f t="shared" si="41"/>
        <v>662227</v>
      </c>
      <c r="I544" s="89">
        <f t="shared" si="41"/>
        <v>5397</v>
      </c>
      <c r="J544" s="89">
        <f t="shared" si="41"/>
        <v>6513</v>
      </c>
      <c r="K544" s="89">
        <f t="shared" si="41"/>
        <v>0</v>
      </c>
      <c r="L544" s="89">
        <f t="shared" si="41"/>
        <v>2052787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1085892</v>
      </c>
      <c r="G548" s="87">
        <f>L525</f>
        <v>223302</v>
      </c>
      <c r="H548" s="87">
        <f>L530</f>
        <v>106739</v>
      </c>
      <c r="I548" s="87">
        <f>L535</f>
        <v>392</v>
      </c>
      <c r="J548" s="87">
        <f>L540</f>
        <v>49999</v>
      </c>
      <c r="K548" s="87">
        <f>SUM(F548:J548)</f>
        <v>1466324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58281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8286</v>
      </c>
      <c r="K549" s="87">
        <f>SUM(F549:J549)</f>
        <v>66567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439794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80102</v>
      </c>
      <c r="K550" s="87">
        <f>SUM(F550:J550)</f>
        <v>519896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1583967</v>
      </c>
      <c r="G551" s="89">
        <f t="shared" si="42"/>
        <v>223302</v>
      </c>
      <c r="H551" s="89">
        <f t="shared" si="42"/>
        <v>106739</v>
      </c>
      <c r="I551" s="89">
        <f t="shared" si="42"/>
        <v>392</v>
      </c>
      <c r="J551" s="89">
        <f t="shared" si="42"/>
        <v>138387</v>
      </c>
      <c r="K551" s="89">
        <f t="shared" si="42"/>
        <v>2052787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23674</v>
      </c>
      <c r="G561" s="18">
        <v>4995</v>
      </c>
      <c r="H561" s="18"/>
      <c r="I561" s="18"/>
      <c r="J561" s="18"/>
      <c r="K561" s="18"/>
      <c r="L561" s="88">
        <f>SUM(F561:K561)</f>
        <v>28669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23674</v>
      </c>
      <c r="G564" s="89">
        <f t="shared" si="44"/>
        <v>4995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28669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23674</v>
      </c>
      <c r="G570" s="89">
        <f t="shared" ref="G570:L570" si="46">G559+G564+G569</f>
        <v>4995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28669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1344026</v>
      </c>
      <c r="H574" s="18">
        <v>3078685</v>
      </c>
      <c r="I574" s="87">
        <f>SUM(F574:H574)</f>
        <v>4422711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f>H233</f>
        <v>439239</v>
      </c>
      <c r="I578" s="87">
        <f t="shared" si="47"/>
        <v>439239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422013</v>
      </c>
      <c r="I590" s="18"/>
      <c r="J590" s="18"/>
      <c r="K590" s="104">
        <f t="shared" ref="K590:K596" si="48">SUM(H590:J590)</f>
        <v>422013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49999</v>
      </c>
      <c r="I591" s="18">
        <v>8286</v>
      </c>
      <c r="J591" s="18">
        <v>80102</v>
      </c>
      <c r="K591" s="104">
        <f t="shared" si="48"/>
        <v>138387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7310</v>
      </c>
      <c r="I594" s="18"/>
      <c r="J594" s="18"/>
      <c r="K594" s="104">
        <f t="shared" si="48"/>
        <v>7310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479322</v>
      </c>
      <c r="I597" s="108">
        <f>SUM(I590:I596)</f>
        <v>8286</v>
      </c>
      <c r="J597" s="108">
        <f>SUM(J590:J596)</f>
        <v>80102</v>
      </c>
      <c r="K597" s="108">
        <f>SUM(K590:K596)</f>
        <v>567710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J256+J337</f>
        <v>104632</v>
      </c>
      <c r="I603" s="18"/>
      <c r="J603" s="18"/>
      <c r="K603" s="104">
        <f>SUM(H603:J603)</f>
        <v>104632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104632</v>
      </c>
      <c r="I604" s="108">
        <f>SUM(I601:I603)</f>
        <v>0</v>
      </c>
      <c r="J604" s="108">
        <f>SUM(J601:J603)</f>
        <v>0</v>
      </c>
      <c r="K604" s="108">
        <f>SUM(K601:K603)</f>
        <v>104632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43913</v>
      </c>
      <c r="G610" s="18">
        <v>7704</v>
      </c>
      <c r="H610" s="18"/>
      <c r="I610" s="18">
        <v>307</v>
      </c>
      <c r="J610" s="18"/>
      <c r="K610" s="18"/>
      <c r="L610" s="88">
        <f>SUM(F610:K610)</f>
        <v>51924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43913</v>
      </c>
      <c r="G613" s="108">
        <f t="shared" si="49"/>
        <v>7704</v>
      </c>
      <c r="H613" s="108">
        <f t="shared" si="49"/>
        <v>0</v>
      </c>
      <c r="I613" s="108">
        <f t="shared" si="49"/>
        <v>307</v>
      </c>
      <c r="J613" s="108">
        <f t="shared" si="49"/>
        <v>0</v>
      </c>
      <c r="K613" s="108">
        <f t="shared" si="49"/>
        <v>0</v>
      </c>
      <c r="L613" s="89">
        <f t="shared" si="49"/>
        <v>51924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1293084</v>
      </c>
      <c r="H616" s="109">
        <f>SUM(F51)</f>
        <v>1293084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10691</v>
      </c>
      <c r="H617" s="109">
        <f>SUM(G51)</f>
        <v>10691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21700</v>
      </c>
      <c r="H618" s="109">
        <f>SUM(H51)</f>
        <v>21700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15305</v>
      </c>
      <c r="H619" s="109">
        <f>SUM(I51)</f>
        <v>15305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220000</v>
      </c>
      <c r="H620" s="109">
        <f>SUM(J51)</f>
        <v>220000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1147182</v>
      </c>
      <c r="H621" s="109">
        <f>F475</f>
        <v>1147182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10691</v>
      </c>
      <c r="H622" s="109">
        <f>G475</f>
        <v>10691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15305</v>
      </c>
      <c r="H624" s="109">
        <f>I475</f>
        <v>15305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220000</v>
      </c>
      <c r="H625" s="109">
        <f>J475</f>
        <v>220000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11191790</v>
      </c>
      <c r="H626" s="104">
        <f>SUM(F467)</f>
        <v>11191790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146427</v>
      </c>
      <c r="H627" s="104">
        <f>SUM(G467)</f>
        <v>146427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85564</v>
      </c>
      <c r="H628" s="104">
        <f>SUM(H467)</f>
        <v>85564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120000</v>
      </c>
      <c r="H630" s="104">
        <f>SUM(J467)</f>
        <v>120000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11033206</v>
      </c>
      <c r="H631" s="104">
        <f>SUM(F471)</f>
        <v>11033206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116520</v>
      </c>
      <c r="H632" s="104">
        <f>SUM(H471)</f>
        <v>116520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81183</v>
      </c>
      <c r="H633" s="104">
        <f>I368</f>
        <v>81183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135736</v>
      </c>
      <c r="H634" s="104">
        <f>SUM(G471)</f>
        <v>135736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120000</v>
      </c>
      <c r="H636" s="164">
        <f>SUM(J467)</f>
        <v>120000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220000</v>
      </c>
      <c r="H638" s="104">
        <f>SUM(F460)</f>
        <v>220000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220000</v>
      </c>
      <c r="H641" s="104">
        <f>SUM(I460)</f>
        <v>220000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120000</v>
      </c>
      <c r="H644" s="104">
        <f>G407</f>
        <v>120000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120000</v>
      </c>
      <c r="H645" s="104">
        <f>L407</f>
        <v>120000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567710</v>
      </c>
      <c r="H646" s="104">
        <f>L207+L225+L243</f>
        <v>567710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104632</v>
      </c>
      <c r="H647" s="104">
        <f>(J256+J337)-(J254+J335)</f>
        <v>104632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479322</v>
      </c>
      <c r="H648" s="104">
        <f>H597</f>
        <v>479322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8286</v>
      </c>
      <c r="H649" s="104">
        <f>I597</f>
        <v>8286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80102</v>
      </c>
      <c r="H650" s="104">
        <f>J597</f>
        <v>80102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120000</v>
      </c>
      <c r="H654" s="104">
        <f>K265+K346</f>
        <v>120000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6156423</v>
      </c>
      <c r="G659" s="19">
        <f>(L228+L308+L358)</f>
        <v>1411013</v>
      </c>
      <c r="H659" s="19">
        <f>(L246+L327+L359)</f>
        <v>3598026</v>
      </c>
      <c r="I659" s="19">
        <f>SUM(F659:H659)</f>
        <v>11165462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118089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118089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479622</v>
      </c>
      <c r="G661" s="19">
        <f>(L225+L305)-(J225+J305)</f>
        <v>8286</v>
      </c>
      <c r="H661" s="19">
        <f>(L243+L324)-(J243+J324)</f>
        <v>80102</v>
      </c>
      <c r="I661" s="19">
        <f>SUM(F661:H661)</f>
        <v>568010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156556</v>
      </c>
      <c r="G662" s="200">
        <f>SUM(G574:G586)+SUM(I601:I603)+L611</f>
        <v>1344026</v>
      </c>
      <c r="H662" s="200">
        <f>SUM(H574:H586)+SUM(J601:J603)+L612</f>
        <v>3517924</v>
      </c>
      <c r="I662" s="19">
        <f>SUM(F662:H662)</f>
        <v>5018506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5402156</v>
      </c>
      <c r="G663" s="19">
        <f>G659-SUM(G660:G662)</f>
        <v>58701</v>
      </c>
      <c r="H663" s="19">
        <f>H659-SUM(H660:H662)</f>
        <v>0</v>
      </c>
      <c r="I663" s="19">
        <f>I659-SUM(I660:I662)</f>
        <v>5460857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509.26</v>
      </c>
      <c r="G664" s="249"/>
      <c r="H664" s="249"/>
      <c r="I664" s="19">
        <f>SUM(F664:H664)</f>
        <v>509.26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10607.85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10723.12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>
        <v>-58701</v>
      </c>
      <c r="H668" s="18"/>
      <c r="I668" s="19">
        <f>SUM(F668:H668)</f>
        <v>-58701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10607.85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10607.85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J21" sqref="J21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New Boston School District</v>
      </c>
      <c r="C1" s="239" t="s">
        <v>839</v>
      </c>
    </row>
    <row r="2" spans="1:3">
      <c r="A2" s="234"/>
      <c r="B2" s="233"/>
    </row>
    <row r="3" spans="1:3">
      <c r="A3" s="275" t="s">
        <v>784</v>
      </c>
      <c r="B3" s="275"/>
      <c r="C3" s="275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4" t="s">
        <v>783</v>
      </c>
      <c r="C6" s="274"/>
    </row>
    <row r="7" spans="1:3">
      <c r="A7" s="240" t="s">
        <v>786</v>
      </c>
      <c r="B7" s="272" t="s">
        <v>782</v>
      </c>
      <c r="C7" s="273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1672637</v>
      </c>
      <c r="C9" s="230">
        <f>'DOE25'!G196+'DOE25'!G214+'DOE25'!G232+'DOE25'!G275+'DOE25'!G294+'DOE25'!G313</f>
        <v>759300</v>
      </c>
    </row>
    <row r="10" spans="1:3">
      <c r="A10" t="s">
        <v>779</v>
      </c>
      <c r="B10" s="241">
        <v>1510020</v>
      </c>
      <c r="C10" s="241">
        <v>698555</v>
      </c>
    </row>
    <row r="11" spans="1:3">
      <c r="A11" t="s">
        <v>780</v>
      </c>
      <c r="B11" s="241">
        <v>97328</v>
      </c>
      <c r="C11" s="241">
        <v>37966</v>
      </c>
    </row>
    <row r="12" spans="1:3">
      <c r="A12" t="s">
        <v>781</v>
      </c>
      <c r="B12" s="241">
        <v>65289</v>
      </c>
      <c r="C12" s="241">
        <v>22779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1672637</v>
      </c>
      <c r="C13" s="232">
        <f>SUM(C10:C12)</f>
        <v>759300</v>
      </c>
    </row>
    <row r="14" spans="1:3">
      <c r="B14" s="231"/>
      <c r="C14" s="231"/>
    </row>
    <row r="15" spans="1:3">
      <c r="B15" s="274" t="s">
        <v>783</v>
      </c>
      <c r="C15" s="274"/>
    </row>
    <row r="16" spans="1:3">
      <c r="A16" s="240" t="s">
        <v>787</v>
      </c>
      <c r="B16" s="272" t="s">
        <v>707</v>
      </c>
      <c r="C16" s="273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703644</v>
      </c>
      <c r="C18" s="230">
        <f>'DOE25'!G197+'DOE25'!G215+'DOE25'!G233+'DOE25'!G276+'DOE25'!G295+'DOE25'!G314</f>
        <v>384617</v>
      </c>
    </row>
    <row r="19" spans="1:3">
      <c r="A19" t="s">
        <v>779</v>
      </c>
      <c r="B19" s="241">
        <v>346034</v>
      </c>
      <c r="C19" s="241">
        <v>165386</v>
      </c>
    </row>
    <row r="20" spans="1:3">
      <c r="A20" t="s">
        <v>780</v>
      </c>
      <c r="B20" s="241">
        <v>357610</v>
      </c>
      <c r="C20" s="241">
        <v>219231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703644</v>
      </c>
      <c r="C22" s="232">
        <f>SUM(C19:C21)</f>
        <v>384617</v>
      </c>
    </row>
    <row r="23" spans="1:3">
      <c r="B23" s="231"/>
      <c r="C23" s="231"/>
    </row>
    <row r="24" spans="1:3">
      <c r="B24" s="274" t="s">
        <v>783</v>
      </c>
      <c r="C24" s="274"/>
    </row>
    <row r="25" spans="1:3">
      <c r="A25" s="240" t="s">
        <v>788</v>
      </c>
      <c r="B25" s="272" t="s">
        <v>708</v>
      </c>
      <c r="C25" s="273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4" t="s">
        <v>783</v>
      </c>
      <c r="C33" s="274"/>
    </row>
    <row r="34" spans="1:3">
      <c r="A34" s="240" t="s">
        <v>789</v>
      </c>
      <c r="B34" s="272" t="s">
        <v>709</v>
      </c>
      <c r="C34" s="273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43913</v>
      </c>
      <c r="C36" s="236">
        <f>'DOE25'!G199+'DOE25'!G217+'DOE25'!G235+'DOE25'!G278+'DOE25'!G297+'DOE25'!G316</f>
        <v>7703</v>
      </c>
    </row>
    <row r="37" spans="1:3">
      <c r="A37" t="s">
        <v>779</v>
      </c>
      <c r="B37" s="241">
        <v>43913</v>
      </c>
      <c r="C37" s="241">
        <v>7703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43913</v>
      </c>
      <c r="C40" s="232">
        <f>SUM(C37:C39)</f>
        <v>7703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F14" sqref="F14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>
      <c r="A2" s="33" t="s">
        <v>717</v>
      </c>
      <c r="B2" s="266" t="str">
        <f>'DOE25'!A2</f>
        <v>New Boston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8631780</v>
      </c>
      <c r="D5" s="20">
        <f>SUM('DOE25'!L196:L199)+SUM('DOE25'!L214:L217)+SUM('DOE25'!L232:L235)-F5-G5</f>
        <v>8590671</v>
      </c>
      <c r="E5" s="244"/>
      <c r="F5" s="256">
        <f>SUM('DOE25'!J196:J199)+SUM('DOE25'!J214:J217)+SUM('DOE25'!J232:J235)</f>
        <v>40974</v>
      </c>
      <c r="G5" s="53">
        <f>SUM('DOE25'!K196:K199)+SUM('DOE25'!K214:K217)+SUM('DOE25'!K232:K235)</f>
        <v>135</v>
      </c>
      <c r="H5" s="260"/>
    </row>
    <row r="6" spans="1:9">
      <c r="A6" s="32">
        <v>2100</v>
      </c>
      <c r="B6" t="s">
        <v>801</v>
      </c>
      <c r="C6" s="246">
        <f t="shared" si="0"/>
        <v>449529</v>
      </c>
      <c r="D6" s="20">
        <f>'DOE25'!L201+'DOE25'!L219+'DOE25'!L237-F6-G6</f>
        <v>449529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138885</v>
      </c>
      <c r="D7" s="20">
        <f>'DOE25'!L202+'DOE25'!L220+'DOE25'!L238-F7-G7</f>
        <v>138705</v>
      </c>
      <c r="E7" s="244"/>
      <c r="F7" s="256">
        <f>'DOE25'!J202+'DOE25'!J220+'DOE25'!J238</f>
        <v>0</v>
      </c>
      <c r="G7" s="53">
        <f>'DOE25'!K202+'DOE25'!K220+'DOE25'!K238</f>
        <v>180</v>
      </c>
      <c r="H7" s="260"/>
    </row>
    <row r="8" spans="1:9">
      <c r="A8" s="32">
        <v>2300</v>
      </c>
      <c r="B8" t="s">
        <v>802</v>
      </c>
      <c r="C8" s="246">
        <f t="shared" si="0"/>
        <v>162723</v>
      </c>
      <c r="D8" s="244"/>
      <c r="E8" s="20">
        <f>'DOE25'!L203+'DOE25'!L221+'DOE25'!L239-F8-G8-D9-D11</f>
        <v>158635</v>
      </c>
      <c r="F8" s="256">
        <f>'DOE25'!J203+'DOE25'!J221+'DOE25'!J239</f>
        <v>0</v>
      </c>
      <c r="G8" s="53">
        <f>'DOE25'!K203+'DOE25'!K221+'DOE25'!K239</f>
        <v>4088</v>
      </c>
      <c r="H8" s="260"/>
    </row>
    <row r="9" spans="1:9">
      <c r="A9" s="32">
        <v>2310</v>
      </c>
      <c r="B9" t="s">
        <v>818</v>
      </c>
      <c r="C9" s="246">
        <f t="shared" si="0"/>
        <v>10088</v>
      </c>
      <c r="D9" s="245">
        <v>10088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5750</v>
      </c>
      <c r="D10" s="244"/>
      <c r="E10" s="245">
        <v>5750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148376</v>
      </c>
      <c r="D11" s="245">
        <v>148376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340244</v>
      </c>
      <c r="D12" s="20">
        <f>'DOE25'!L204+'DOE25'!L222+'DOE25'!L240-F12-G12</f>
        <v>338804</v>
      </c>
      <c r="E12" s="244"/>
      <c r="F12" s="256">
        <f>'DOE25'!J204+'DOE25'!J222+'DOE25'!J240</f>
        <v>0</v>
      </c>
      <c r="G12" s="53">
        <f>'DOE25'!K204+'DOE25'!K222+'DOE25'!K240</f>
        <v>1440</v>
      </c>
      <c r="H12" s="260"/>
    </row>
    <row r="13" spans="1:9">
      <c r="A13" s="32">
        <v>2500</v>
      </c>
      <c r="B13" t="s">
        <v>803</v>
      </c>
      <c r="C13" s="246">
        <f t="shared" si="0"/>
        <v>-4987</v>
      </c>
      <c r="D13" s="244"/>
      <c r="E13" s="20">
        <f>'DOE25'!L205+'DOE25'!L223+'DOE25'!L241-F13-G13</f>
        <v>-4987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468858</v>
      </c>
      <c r="D14" s="20">
        <f>'DOE25'!L206+'DOE25'!L224+'DOE25'!L242-F14-G14</f>
        <v>467262</v>
      </c>
      <c r="E14" s="244"/>
      <c r="F14" s="256">
        <f>'DOE25'!J206+'DOE25'!J224+'DOE25'!J242</f>
        <v>1596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567710</v>
      </c>
      <c r="D15" s="20">
        <f>'DOE25'!L207+'DOE25'!L225+'DOE25'!L243-F15-G15</f>
        <v>567710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60418</v>
      </c>
      <c r="D29" s="20">
        <f>'DOE25'!L357+'DOE25'!L358+'DOE25'!L359-'DOE25'!I366-F29-G29</f>
        <v>59135</v>
      </c>
      <c r="E29" s="244"/>
      <c r="F29" s="256">
        <f>'DOE25'!J357+'DOE25'!J358+'DOE25'!J359</f>
        <v>1261</v>
      </c>
      <c r="G29" s="53">
        <f>'DOE25'!K357+'DOE25'!K358+'DOE25'!K359</f>
        <v>22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116520</v>
      </c>
      <c r="D31" s="20">
        <f>'DOE25'!L289+'DOE25'!L308+'DOE25'!L327+'DOE25'!L332+'DOE25'!L333+'DOE25'!L334-F31-G31</f>
        <v>52752</v>
      </c>
      <c r="E31" s="244"/>
      <c r="F31" s="256">
        <f>'DOE25'!J289+'DOE25'!J308+'DOE25'!J327+'DOE25'!J332+'DOE25'!J333+'DOE25'!J334</f>
        <v>62062</v>
      </c>
      <c r="G31" s="53">
        <f>'DOE25'!K289+'DOE25'!K308+'DOE25'!K327+'DOE25'!K332+'DOE25'!K333+'DOE25'!K334</f>
        <v>1706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10823032</v>
      </c>
      <c r="E33" s="247">
        <f>SUM(E5:E31)</f>
        <v>159398</v>
      </c>
      <c r="F33" s="247">
        <f>SUM(F5:F31)</f>
        <v>105893</v>
      </c>
      <c r="G33" s="247">
        <f>SUM(G5:G31)</f>
        <v>7571</v>
      </c>
      <c r="H33" s="247">
        <f>SUM(H5:H31)</f>
        <v>0</v>
      </c>
    </row>
    <row r="35" spans="2:8" ht="12" thickBot="1">
      <c r="B35" s="254" t="s">
        <v>847</v>
      </c>
      <c r="D35" s="255">
        <f>E33</f>
        <v>159398</v>
      </c>
      <c r="E35" s="250"/>
    </row>
    <row r="36" spans="2:8" ht="12" thickTop="1">
      <c r="B36" t="s">
        <v>815</v>
      </c>
      <c r="D36" s="20">
        <f>D33</f>
        <v>10823032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02" activePane="bottomLeft" state="frozen"/>
      <selection pane="bottomLeft" activeCell="G11" sqref="G11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New Boston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1262154</v>
      </c>
      <c r="D8" s="95">
        <f>'DOE25'!G9</f>
        <v>10691</v>
      </c>
      <c r="E8" s="95">
        <f>'DOE25'!H9</f>
        <v>0</v>
      </c>
      <c r="F8" s="95">
        <f>'DOE25'!I9</f>
        <v>15305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120000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14590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100000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21700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1088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4298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10954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1293084</v>
      </c>
      <c r="D18" s="41">
        <f>SUM(D8:D17)</f>
        <v>10691</v>
      </c>
      <c r="E18" s="41">
        <f>SUM(E8:E17)</f>
        <v>21700</v>
      </c>
      <c r="F18" s="41">
        <f>SUM(F8:F17)</f>
        <v>15305</v>
      </c>
      <c r="G18" s="41">
        <f>SUM(G8:G17)</f>
        <v>220000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14476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430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123622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20963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1317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6794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145902</v>
      </c>
      <c r="D31" s="41">
        <f>SUM(D21:D30)</f>
        <v>0</v>
      </c>
      <c r="E31" s="41">
        <f>SUM(E21:E30)</f>
        <v>21700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4298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5771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120000</v>
      </c>
      <c r="D46" s="95">
        <f>'DOE25'!G47</f>
        <v>10380</v>
      </c>
      <c r="E46" s="95">
        <f>'DOE25'!H47</f>
        <v>0</v>
      </c>
      <c r="F46" s="95">
        <f>'DOE25'!I47</f>
        <v>0</v>
      </c>
      <c r="G46" s="95">
        <f>'DOE25'!J47</f>
        <v>120000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345981</v>
      </c>
      <c r="D47" s="95">
        <f>'DOE25'!G48</f>
        <v>311</v>
      </c>
      <c r="E47" s="95">
        <f>'DOE25'!H48</f>
        <v>0</v>
      </c>
      <c r="F47" s="95">
        <f>'DOE25'!I48</f>
        <v>15305</v>
      </c>
      <c r="G47" s="95">
        <f>'DOE25'!J48</f>
        <v>100000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671132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1147182</v>
      </c>
      <c r="D49" s="41">
        <f>SUM(D34:D48)</f>
        <v>10691</v>
      </c>
      <c r="E49" s="41">
        <f>SUM(E34:E48)</f>
        <v>0</v>
      </c>
      <c r="F49" s="41">
        <f>SUM(F34:F48)</f>
        <v>15305</v>
      </c>
      <c r="G49" s="41">
        <f>SUM(G34:G48)</f>
        <v>220000</v>
      </c>
      <c r="H49" s="124"/>
      <c r="I49" s="124"/>
    </row>
    <row r="50" spans="1:9" ht="12" thickTop="1">
      <c r="A50" s="38" t="s">
        <v>895</v>
      </c>
      <c r="B50" s="2"/>
      <c r="C50" s="41">
        <f>C49+C31</f>
        <v>1293084</v>
      </c>
      <c r="D50" s="41">
        <f>D49+D31</f>
        <v>10691</v>
      </c>
      <c r="E50" s="41">
        <f>E49+E31</f>
        <v>21700</v>
      </c>
      <c r="F50" s="41">
        <f>F49+F31</f>
        <v>15305</v>
      </c>
      <c r="G50" s="41">
        <f>G49+G31</f>
        <v>220000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7536275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3893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1753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118089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1115</v>
      </c>
      <c r="D60" s="95">
        <f>SUM('DOE25'!G97:G109)</f>
        <v>0</v>
      </c>
      <c r="E60" s="95">
        <f>SUM('DOE25'!H97:H109)</f>
        <v>8130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6761</v>
      </c>
      <c r="D61" s="130">
        <f>SUM(D56:D60)</f>
        <v>118089</v>
      </c>
      <c r="E61" s="130">
        <f>SUM(E56:E60)</f>
        <v>8130</v>
      </c>
      <c r="F61" s="130">
        <f>SUM(F56:F60)</f>
        <v>0</v>
      </c>
      <c r="G61" s="130">
        <f>SUM(G56:G60)</f>
        <v>0</v>
      </c>
      <c r="H61"/>
      <c r="I61"/>
    </row>
    <row r="62" spans="1:9" ht="12" thickTop="1">
      <c r="A62" s="29" t="s">
        <v>175</v>
      </c>
      <c r="B62" s="6"/>
      <c r="C62" s="22">
        <f>C55+C61</f>
        <v>7543036</v>
      </c>
      <c r="D62" s="22">
        <f>D55+D61</f>
        <v>118089</v>
      </c>
      <c r="E62" s="22">
        <f>E55+E61</f>
        <v>8130</v>
      </c>
      <c r="F62" s="22">
        <f>F55+F61</f>
        <v>0</v>
      </c>
      <c r="G62" s="22">
        <f>G55+G61</f>
        <v>0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2216296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1279374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1920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9403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3506993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3960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1803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3960</v>
      </c>
      <c r="D77" s="130">
        <f>SUM(D71:D76)</f>
        <v>1803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3510953</v>
      </c>
      <c r="D80" s="130">
        <f>SUM(D78:D79)+D77+D69</f>
        <v>1803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25881</v>
      </c>
      <c r="D86" s="24" t="s">
        <v>289</v>
      </c>
      <c r="E86" s="95">
        <f>SUM('DOE25'!H148:H151)</f>
        <v>25881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111920</v>
      </c>
      <c r="D87" s="95">
        <f>SUM('DOE25'!G152:G160)</f>
        <v>17633</v>
      </c>
      <c r="E87" s="95">
        <f>SUM('DOE25'!H152:H160)</f>
        <v>51553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8902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137801</v>
      </c>
      <c r="D90" s="131">
        <f>SUM(D84:D89)</f>
        <v>26535</v>
      </c>
      <c r="E90" s="131">
        <f>SUM(E84:E89)</f>
        <v>77434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120000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120000</v>
      </c>
    </row>
    <row r="103" spans="1:7" ht="12.75" thickTop="1" thickBot="1">
      <c r="A103" s="33" t="s">
        <v>765</v>
      </c>
      <c r="C103" s="86">
        <f>C62+C80+C90+C102</f>
        <v>11191790</v>
      </c>
      <c r="D103" s="86">
        <f>D62+D80+D90+D102</f>
        <v>146427</v>
      </c>
      <c r="E103" s="86">
        <f>E62+E80+E90+E102</f>
        <v>85564</v>
      </c>
      <c r="F103" s="86">
        <f>F62+F80+F90+F102</f>
        <v>0</v>
      </c>
      <c r="G103" s="86">
        <f>G62+G80+G102</f>
        <v>120000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7002224</v>
      </c>
      <c r="D108" s="24" t="s">
        <v>289</v>
      </c>
      <c r="E108" s="95">
        <f>('DOE25'!L275)+('DOE25'!L294)+('DOE25'!L313)</f>
        <v>65675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1583412</v>
      </c>
      <c r="D109" s="24" t="s">
        <v>289</v>
      </c>
      <c r="E109" s="95">
        <f>('DOE25'!L276)+('DOE25'!L295)+('DOE25'!L314)</f>
        <v>24627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46144</v>
      </c>
      <c r="D111" s="24" t="s">
        <v>289</v>
      </c>
      <c r="E111" s="95">
        <f>+('DOE25'!L278)+('DOE25'!L297)+('DOE25'!L316)</f>
        <v>6079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8631780</v>
      </c>
      <c r="D114" s="86">
        <f>SUM(D108:D113)</f>
        <v>0</v>
      </c>
      <c r="E114" s="86">
        <f>SUM(E108:E113)</f>
        <v>96381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449529</v>
      </c>
      <c r="D117" s="24" t="s">
        <v>289</v>
      </c>
      <c r="E117" s="95">
        <f>+('DOE25'!L280)+('DOE25'!L299)+('DOE25'!L318)</f>
        <v>1636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138885</v>
      </c>
      <c r="D118" s="24" t="s">
        <v>289</v>
      </c>
      <c r="E118" s="95">
        <f>+('DOE25'!L281)+('DOE25'!L300)+('DOE25'!L319)</f>
        <v>17445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321187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340244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-4987</v>
      </c>
      <c r="D121" s="24" t="s">
        <v>289</v>
      </c>
      <c r="E121" s="95">
        <f>+('DOE25'!L284)+('DOE25'!L303)+('DOE25'!L322)</f>
        <v>758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468858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567710</v>
      </c>
      <c r="D123" s="24" t="s">
        <v>289</v>
      </c>
      <c r="E123" s="95">
        <f>+('DOE25'!L286)+('DOE25'!L305)+('DOE25'!L324)</f>
        <v>300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135736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2281426</v>
      </c>
      <c r="D127" s="86">
        <f>SUM(D117:D126)</f>
        <v>135736</v>
      </c>
      <c r="E127" s="86">
        <f>SUM(E117:E126)</f>
        <v>20139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100000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20000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120000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11033206</v>
      </c>
      <c r="D144" s="86">
        <f>(D114+D127+D143)</f>
        <v>135736</v>
      </c>
      <c r="E144" s="86">
        <f>(E114+E127+E143)</f>
        <v>116520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I38" sqref="I38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80" t="s">
        <v>740</v>
      </c>
      <c r="B1" s="280"/>
      <c r="C1" s="280"/>
      <c r="D1" s="280"/>
    </row>
    <row r="2" spans="1:4">
      <c r="A2" s="187" t="s">
        <v>717</v>
      </c>
      <c r="B2" s="186" t="str">
        <f>'DOE25'!A2</f>
        <v>New Boston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10608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10608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7067899</v>
      </c>
      <c r="D10" s="182">
        <f>ROUND((C10/$C$28)*100,1)</f>
        <v>64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1608039</v>
      </c>
      <c r="D11" s="182">
        <f>ROUND((C11/$C$28)*100,1)</f>
        <v>14.6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52223</v>
      </c>
      <c r="D13" s="182">
        <f>ROUND((C13/$C$28)*100,1)</f>
        <v>0.5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451165</v>
      </c>
      <c r="D15" s="182">
        <f t="shared" ref="D15:D27" si="0">ROUND((C15/$C$28)*100,1)</f>
        <v>4.0999999999999996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156330</v>
      </c>
      <c r="D16" s="182">
        <f t="shared" si="0"/>
        <v>1.4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321187</v>
      </c>
      <c r="D17" s="182">
        <f t="shared" si="0"/>
        <v>2.9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340244</v>
      </c>
      <c r="D18" s="182">
        <f t="shared" si="0"/>
        <v>3.1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-4229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468858</v>
      </c>
      <c r="D20" s="182">
        <f t="shared" si="0"/>
        <v>4.2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568010</v>
      </c>
      <c r="D21" s="182">
        <f t="shared" si="0"/>
        <v>5.0999999999999996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17647</v>
      </c>
      <c r="D27" s="182">
        <f t="shared" si="0"/>
        <v>0.2</v>
      </c>
    </row>
    <row r="28" spans="1:4">
      <c r="B28" s="187" t="s">
        <v>723</v>
      </c>
      <c r="C28" s="180">
        <f>SUM(C10:C27)</f>
        <v>11047373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11047373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7536275</v>
      </c>
      <c r="D35" s="182">
        <f t="shared" ref="D35:D40" si="1">ROUND((C35/$C$41)*100,1)</f>
        <v>66.7</v>
      </c>
    </row>
    <row r="36" spans="1:4">
      <c r="B36" s="185" t="s">
        <v>743</v>
      </c>
      <c r="C36" s="179">
        <f>SUM('DOE25'!F111:J111)-SUM('DOE25'!G96:G109)+('DOE25'!F173+'DOE25'!F174+'DOE25'!I173+'DOE25'!I174)-C35</f>
        <v>14891</v>
      </c>
      <c r="D36" s="182">
        <f t="shared" si="1"/>
        <v>0.1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3497590</v>
      </c>
      <c r="D37" s="182">
        <f t="shared" si="1"/>
        <v>30.9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15166</v>
      </c>
      <c r="D38" s="182">
        <f t="shared" si="1"/>
        <v>0.1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241770</v>
      </c>
      <c r="D39" s="182">
        <f t="shared" si="1"/>
        <v>2.1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11305692</v>
      </c>
      <c r="D41" s="184">
        <f>SUM(D35:D40)</f>
        <v>99.899999999999977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10" sqref="C10:M10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4"/>
      <c r="K1" s="214"/>
      <c r="L1" s="214"/>
      <c r="M1" s="215"/>
    </row>
    <row r="2" spans="1:26" ht="12.75">
      <c r="A2" s="297" t="s">
        <v>767</v>
      </c>
      <c r="B2" s="298"/>
      <c r="C2" s="298"/>
      <c r="D2" s="298"/>
      <c r="E2" s="298"/>
      <c r="F2" s="291" t="str">
        <f>'DOE25'!A2</f>
        <v>New Boston School District</v>
      </c>
      <c r="G2" s="292"/>
      <c r="H2" s="292"/>
      <c r="I2" s="292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>
        <v>19</v>
      </c>
      <c r="B5" s="220">
        <v>3</v>
      </c>
      <c r="C5" s="281" t="s">
        <v>911</v>
      </c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 t="s">
        <v>912</v>
      </c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 t="s">
        <v>913</v>
      </c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>
        <v>22</v>
      </c>
      <c r="B9" s="220">
        <v>8</v>
      </c>
      <c r="C9" s="281" t="s">
        <v>914</v>
      </c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 t="s">
        <v>916</v>
      </c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 t="s">
        <v>915</v>
      </c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>
      <c r="A74" s="212"/>
      <c r="B74" s="212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>
      <c r="A75" s="212"/>
      <c r="B75" s="212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>
      <c r="A76" s="212"/>
      <c r="B76" s="212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>
      <c r="A77" s="212"/>
      <c r="B77" s="212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>
      <c r="A78" s="212"/>
      <c r="B78" s="21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>
      <c r="A79" s="212"/>
      <c r="B79" s="21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>
      <c r="A80" s="212"/>
      <c r="B80" s="21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>
      <c r="A81" s="212"/>
      <c r="B81" s="21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>
      <c r="A82" s="212"/>
      <c r="B82" s="21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>
      <c r="A83" s="212"/>
      <c r="B83" s="21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>
      <c r="A84" s="212"/>
      <c r="B84" s="21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>
      <c r="A85" s="212"/>
      <c r="B85" s="21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>
      <c r="A86" s="212"/>
      <c r="B86" s="21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>
      <c r="A87" s="212"/>
      <c r="B87" s="21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>
      <c r="A88" s="212"/>
      <c r="B88" s="21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>
      <c r="A89" s="212"/>
      <c r="B89" s="21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>
      <c r="A90" s="212"/>
      <c r="B90" s="21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2012-10-16T16:34:46Z</cp:lastPrinted>
  <dcterms:created xsi:type="dcterms:W3CDTF">1997-12-04T19:04:30Z</dcterms:created>
  <dcterms:modified xsi:type="dcterms:W3CDTF">2012-11-21T15:07:11Z</dcterms:modified>
</cp:coreProperties>
</file>