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C39" i="12"/>
  <c r="B39" i="12"/>
  <c r="B19" i="12"/>
  <c r="H240" i="1" l="1"/>
  <c r="H239" i="1"/>
  <c r="H238" i="1"/>
  <c r="H237" i="1"/>
  <c r="H232" i="1"/>
  <c r="G232" i="1"/>
  <c r="G214" i="1"/>
  <c r="G196" i="1"/>
  <c r="G302" i="1"/>
  <c r="H320" i="1"/>
  <c r="G320" i="1"/>
  <c r="F320" i="1"/>
  <c r="K301" i="1"/>
  <c r="J319" i="1"/>
  <c r="J300" i="1"/>
  <c r="J281" i="1"/>
  <c r="H319" i="1"/>
  <c r="H281" i="1"/>
  <c r="H300" i="1"/>
  <c r="H318" i="1"/>
  <c r="I318" i="1"/>
  <c r="H299" i="1"/>
  <c r="I278" i="1"/>
  <c r="I316" i="1"/>
  <c r="I297" i="1"/>
  <c r="H278" i="1"/>
  <c r="H316" i="1"/>
  <c r="H297" i="1"/>
  <c r="G278" i="1"/>
  <c r="G316" i="1"/>
  <c r="F316" i="1"/>
  <c r="J276" i="1"/>
  <c r="I276" i="1"/>
  <c r="F276" i="1"/>
  <c r="I275" i="1"/>
  <c r="I313" i="1"/>
  <c r="G275" i="1"/>
  <c r="F313" i="1"/>
  <c r="F275" i="1"/>
  <c r="J471" i="1"/>
  <c r="J467" i="1"/>
  <c r="J464" i="1"/>
  <c r="J603" i="1"/>
  <c r="I603" i="1"/>
  <c r="H603" i="1"/>
  <c r="G467" i="1"/>
  <c r="G9" i="1"/>
  <c r="F24" i="1"/>
  <c r="F9" i="1"/>
  <c r="K610" i="1"/>
  <c r="I611" i="1"/>
  <c r="G612" i="1"/>
  <c r="G611" i="1"/>
  <c r="G610" i="1"/>
  <c r="F610" i="1"/>
  <c r="H594" i="1" l="1"/>
  <c r="I594" i="1"/>
  <c r="J594" i="1"/>
  <c r="H591" i="1"/>
  <c r="I590" i="1"/>
  <c r="J590" i="1"/>
  <c r="F581" i="1"/>
  <c r="F532" i="1"/>
  <c r="G532" i="1" s="1"/>
  <c r="F531" i="1"/>
  <c r="G531" i="1" s="1"/>
  <c r="F530" i="1"/>
  <c r="G530" i="1" s="1"/>
  <c r="H527" i="1" l="1"/>
  <c r="H526" i="1"/>
  <c r="H525" i="1"/>
  <c r="F501" i="1" l="1"/>
  <c r="F500" i="1"/>
  <c r="F498" i="1"/>
  <c r="H366" i="1"/>
  <c r="G366" i="1"/>
  <c r="F366" i="1"/>
  <c r="H109" i="1" l="1"/>
  <c r="F108" i="1"/>
  <c r="F5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D18" i="13" s="1"/>
  <c r="C18" i="13" s="1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C61" i="2" s="1"/>
  <c r="C62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E102" i="2" s="1"/>
  <c r="F101" i="2"/>
  <c r="C108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E129" i="2"/>
  <c r="F129" i="2"/>
  <c r="D133" i="2"/>
  <c r="D143" i="2" s="1"/>
  <c r="E133" i="2"/>
  <c r="F133" i="2"/>
  <c r="K418" i="1"/>
  <c r="K426" i="1"/>
  <c r="K432" i="1"/>
  <c r="L262" i="1"/>
  <c r="C134" i="2" s="1"/>
  <c r="L263" i="1"/>
  <c r="C135" i="2" s="1"/>
  <c r="L264" i="1"/>
  <c r="C136" i="2" s="1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G155" i="2" s="1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G159" i="2" s="1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G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8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 s="1"/>
  <c r="G652" i="1"/>
  <c r="H652" i="1"/>
  <c r="J652" i="1" s="1"/>
  <c r="G653" i="1"/>
  <c r="H653" i="1"/>
  <c r="H654" i="1"/>
  <c r="J351" i="1"/>
  <c r="F191" i="1"/>
  <c r="K256" i="1"/>
  <c r="I256" i="1"/>
  <c r="I270" i="1" s="1"/>
  <c r="G256" i="1"/>
  <c r="G270" i="1" s="1"/>
  <c r="C26" i="10"/>
  <c r="L327" i="1"/>
  <c r="L289" i="1"/>
  <c r="A40" i="12"/>
  <c r="D12" i="13"/>
  <c r="C12" i="13" s="1"/>
  <c r="G8" i="2"/>
  <c r="E8" i="13"/>
  <c r="C8" i="13" s="1"/>
  <c r="F61" i="2"/>
  <c r="F62" i="2" s="1"/>
  <c r="C77" i="2"/>
  <c r="D49" i="2"/>
  <c r="G156" i="2"/>
  <c r="F18" i="2"/>
  <c r="G157" i="2"/>
  <c r="E114" i="2"/>
  <c r="G102" i="2"/>
  <c r="F90" i="2"/>
  <c r="D29" i="13"/>
  <c r="C29" i="13" s="1"/>
  <c r="D19" i="13"/>
  <c r="C19" i="13" s="1"/>
  <c r="D14" i="13"/>
  <c r="C14" i="13" s="1"/>
  <c r="G570" i="1" l="1"/>
  <c r="H433" i="1"/>
  <c r="I433" i="1"/>
  <c r="G433" i="1"/>
  <c r="L255" i="1"/>
  <c r="I191" i="1"/>
  <c r="K433" i="1"/>
  <c r="G133" i="2" s="1"/>
  <c r="G143" i="2" s="1"/>
  <c r="C69" i="2"/>
  <c r="G168" i="1"/>
  <c r="I139" i="1"/>
  <c r="G139" i="1"/>
  <c r="F31" i="13"/>
  <c r="L269" i="1"/>
  <c r="D17" i="13"/>
  <c r="C17" i="13" s="1"/>
  <c r="D15" i="13"/>
  <c r="C15" i="13" s="1"/>
  <c r="C109" i="2"/>
  <c r="E13" i="13"/>
  <c r="C13" i="13" s="1"/>
  <c r="D7" i="13"/>
  <c r="C7" i="13" s="1"/>
  <c r="D6" i="13"/>
  <c r="C6" i="13" s="1"/>
  <c r="G162" i="2"/>
  <c r="G161" i="2"/>
  <c r="G158" i="2"/>
  <c r="F102" i="2"/>
  <c r="D102" i="2"/>
  <c r="C102" i="2"/>
  <c r="D90" i="2"/>
  <c r="C90" i="2"/>
  <c r="F77" i="2"/>
  <c r="F80" i="2" s="1"/>
  <c r="G80" i="2"/>
  <c r="E61" i="2"/>
  <c r="E62" i="2" s="1"/>
  <c r="D31" i="2"/>
  <c r="F31" i="2"/>
  <c r="C114" i="2"/>
  <c r="F49" i="2"/>
  <c r="C31" i="2"/>
  <c r="E49" i="2"/>
  <c r="A31" i="12"/>
  <c r="G61" i="2"/>
  <c r="L350" i="1"/>
  <c r="E143" i="2"/>
  <c r="K270" i="1"/>
  <c r="J653" i="1"/>
  <c r="E31" i="2"/>
  <c r="E50" i="2" s="1"/>
  <c r="H51" i="1"/>
  <c r="H618" i="1" s="1"/>
  <c r="J618" i="1" s="1"/>
  <c r="G51" i="1"/>
  <c r="H617" i="1" s="1"/>
  <c r="J617" i="1" s="1"/>
  <c r="D18" i="2"/>
  <c r="C18" i="2"/>
  <c r="F50" i="2"/>
  <c r="G144" i="2"/>
  <c r="D61" i="2"/>
  <c r="D62" i="2" s="1"/>
  <c r="E18" i="2"/>
  <c r="G160" i="2"/>
  <c r="I662" i="1"/>
  <c r="F544" i="1"/>
  <c r="F660" i="1"/>
  <c r="H660" i="1"/>
  <c r="G660" i="1"/>
  <c r="L361" i="1"/>
  <c r="I337" i="1"/>
  <c r="I351" i="1" s="1"/>
  <c r="C13" i="10"/>
  <c r="C11" i="10"/>
  <c r="C16" i="10"/>
  <c r="C21" i="10"/>
  <c r="C127" i="2"/>
  <c r="L246" i="1"/>
  <c r="C17" i="10"/>
  <c r="H659" i="1"/>
  <c r="C15" i="10"/>
  <c r="C18" i="10"/>
  <c r="J649" i="1"/>
  <c r="L228" i="1"/>
  <c r="C10" i="10"/>
  <c r="F661" i="1"/>
  <c r="I661" i="1" s="1"/>
  <c r="J648" i="1"/>
  <c r="L210" i="1"/>
  <c r="F659" i="1" s="1"/>
  <c r="F139" i="1"/>
  <c r="J641" i="1"/>
  <c r="D50" i="2"/>
  <c r="A22" i="12"/>
  <c r="G33" i="13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F192" i="1" s="1"/>
  <c r="G626" i="1" s="1"/>
  <c r="J626" i="1" s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551" i="1"/>
  <c r="H551" i="1"/>
  <c r="C29" i="10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L570" i="1" s="1"/>
  <c r="G544" i="1"/>
  <c r="L544" i="1"/>
  <c r="H544" i="1"/>
  <c r="K550" i="1"/>
  <c r="F143" i="2"/>
  <c r="F144" i="2" s="1"/>
  <c r="H192" i="1" l="1"/>
  <c r="G628" i="1" s="1"/>
  <c r="J628" i="1" s="1"/>
  <c r="L433" i="1"/>
  <c r="G637" i="1" s="1"/>
  <c r="J637" i="1" s="1"/>
  <c r="J647" i="1"/>
  <c r="J270" i="1"/>
  <c r="K551" i="1"/>
  <c r="H663" i="1"/>
  <c r="H666" i="1" s="1"/>
  <c r="I660" i="1"/>
  <c r="C27" i="10"/>
  <c r="C28" i="10" s="1"/>
  <c r="D25" i="10" s="1"/>
  <c r="G634" i="1"/>
  <c r="J634" i="1" s="1"/>
  <c r="F663" i="1"/>
  <c r="F666" i="1" s="1"/>
  <c r="L256" i="1"/>
  <c r="L270" i="1" s="1"/>
  <c r="G631" i="1" s="1"/>
  <c r="J631" i="1" s="1"/>
  <c r="C36" i="10"/>
  <c r="C41" i="10" s="1"/>
  <c r="D39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71" i="1" l="1"/>
  <c r="C4" i="10" s="1"/>
  <c r="H671" i="1"/>
  <c r="C6" i="10" s="1"/>
  <c r="D13" i="10"/>
  <c r="D10" i="10"/>
  <c r="D26" i="10"/>
  <c r="C30" i="10"/>
  <c r="D20" i="10"/>
  <c r="D18" i="10"/>
  <c r="D22" i="10"/>
  <c r="D11" i="10"/>
  <c r="D23" i="10"/>
  <c r="D21" i="10"/>
  <c r="D12" i="10"/>
  <c r="D16" i="10"/>
  <c r="D19" i="10"/>
  <c r="D17" i="10"/>
  <c r="D24" i="10"/>
  <c r="D27" i="10"/>
  <c r="D15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8" i="10" l="1"/>
  <c r="D41" i="10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<sst xmlns="http://schemas.openxmlformats.org/spreadsheetml/2006/main" count="3945" uniqueCount="912">
  <si>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</si>
  <si>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</si>
  <si>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</si>
  <si>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</si>
  <si>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</si>
  <si>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</si>
  <si>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</si>
  <si>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</si>
  <si>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</si>
  <si>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</si>
  <si>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</si>
  <si>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</si>
  <si>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</si>
  <si>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</si>
  <si>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</si>
  <si>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</si>
  <si>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</si>
  <si>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</si>
  <si>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</si>
  <si>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</si>
  <si>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</si>
  <si>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</si>
  <si>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</si>
  <si>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</si>
  <si>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</si>
  <si>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</si>
  <si>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</si>
  <si>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</si>
  <si>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</si>
  <si>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</si>
  <si>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</si>
  <si>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</si>
  <si>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</si>
  <si>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</si>
  <si>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</si>
  <si>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</si>
  <si>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</si>
  <si>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</si>
  <si>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</si>
  <si>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</si>
  <si>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</si>
  <si>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</si>
  <si>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</si>
  <si>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</si>
  <si>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</si>
  <si>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</si>
  <si>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</si>
  <si>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</si>
  <si>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</si>
  <si>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</si>
  <si>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</si>
  <si>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</si>
  <si>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</si>
  <si>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</si>
  <si>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</si>
  <si>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</si>
  <si>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</si>
  <si>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</si>
  <si>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</si>
  <si>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</si>
  <si>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</si>
  <si>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</si>
  <si>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</si>
  <si>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</si>
  <si>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</si>
  <si>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</si>
  <si>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</si>
  <si>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</si>
  <si>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</si>
  <si>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</si>
  <si>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</si>
  <si>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</si>
  <si>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</si>
  <si>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</si>
  <si>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</si>
  <si>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</si>
  <si>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</si>
  <si>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</si>
  <si>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</si>
  <si>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</si>
  <si>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</si>
  <si>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</si>
  <si>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</si>
  <si>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</si>
  <si>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</si>
  <si>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</si>
  <si>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</si>
  <si>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</si>
  <si>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</si>
  <si>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</si>
  <si>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</si>
  <si>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</si>
  <si>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</si>
  <si>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</si>
  <si>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</si>
  <si>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</si>
  <si>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</si>
  <si>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</si>
  <si>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</si>
  <si>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</si>
  <si>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</si>
  <si>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</si>
  <si>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</si>
  <si>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</si>
  <si>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</si>
  <si>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</si>
  <si>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</si>
  <si>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</si>
  <si>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</si>
  <si>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</si>
  <si>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</si>
  <si>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</si>
  <si>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</si>
  <si>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</si>
  <si>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</si>
  <si>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</si>
  <si>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</si>
  <si>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</si>
  <si>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</si>
  <si>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</si>
  <si>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</si>
  <si>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</si>
  <si>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</si>
  <si>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</si>
  <si>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</si>
  <si>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</si>
  <si>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</si>
  <si>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</si>
  <si>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</si>
  <si>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</si>
  <si>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</si>
  <si>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</si>
  <si>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</si>
  <si>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</si>
  <si>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</si>
  <si>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</si>
  <si>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</si>
  <si>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</si>
  <si>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</si>
  <si>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</si>
  <si>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</si>
  <si>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</si>
  <si>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</si>
  <si>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</si>
  <si>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</si>
  <si>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</si>
  <si>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</si>
  <si>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</si>
  <si>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</si>
  <si>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</si>
  <si>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</si>
  <si>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</si>
  <si>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</si>
  <si>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</si>
  <si>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</si>
  <si>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</si>
  <si>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</si>
  <si>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</si>
  <si>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</si>
  <si>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</si>
  <si>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</si>
  <si>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</si>
  <si>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</si>
  <si>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</si>
  <si>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</si>
  <si>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</si>
  <si>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</si>
  <si>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</si>
  <si>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</si>
  <si>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</si>
  <si>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</si>
  <si>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</si>
  <si>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</si>
  <si>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</si>
  <si>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</si>
  <si>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</si>
  <si>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</si>
  <si>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</si>
  <si>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</si>
  <si>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</si>
  <si>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</si>
  <si>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</si>
  <si>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</si>
  <si>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</si>
  <si>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</si>
  <si>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</si>
  <si>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</si>
  <si>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</si>
  <si>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</si>
  <si>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</si>
  <si>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</si>
  <si>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</si>
  <si>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</si>
  <si>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</si>
  <si>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</si>
  <si>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</si>
  <si>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</si>
  <si>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</si>
  <si>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</si>
  <si>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</si>
  <si>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</si>
  <si>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</si>
  <si>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</si>
  <si>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</si>
  <si>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</si>
  <si>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</si>
  <si>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</si>
  <si>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</si>
  <si>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</si>
  <si>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</si>
  <si>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</si>
  <si>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</si>
  <si>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</si>
  <si>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</si>
  <si>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</si>
  <si>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</si>
  <si>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</si>
  <si>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</si>
  <si>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</si>
  <si>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</si>
  <si>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</si>
  <si>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</si>
  <si>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</si>
  <si>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</si>
  <si>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</si>
  <si>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</si>
  <si>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</si>
  <si>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</si>
  <si>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</si>
  <si>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</si>
  <si>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</si>
  <si>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</si>
  <si>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</si>
  <si>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</si>
  <si>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</si>
  <si>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</si>
  <si>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</si>
  <si>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</si>
  <si>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</si>
  <si>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</si>
  <si>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</si>
  <si>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</si>
  <si>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</si>
  <si>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</si>
  <si>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</si>
  <si>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</si>
  <si>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</si>
  <si>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</si>
  <si>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</si>
  <si>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</si>
  <si>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</si>
  <si>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</si>
  <si>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</si>
  <si>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</si>
  <si>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</si>
  <si>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</si>
  <si>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</si>
  <si>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</si>
  <si>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</si>
  <si>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</si>
  <si>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</si>
  <si>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</si>
  <si>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</si>
  <si>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</si>
  <si>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</si>
  <si>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</si>
  <si>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</si>
  <si>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</si>
  <si>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</si>
  <si>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</si>
  <si>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</si>
  <si>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</si>
  <si>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</si>
  <si>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</si>
  <si>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</si>
  <si>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</si>
  <si>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</si>
  <si>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</si>
  <si>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</si>
  <si>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</si>
  <si>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</si>
  <si>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</si>
  <si>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</si>
  <si>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</si>
  <si>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</si>
  <si>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</si>
  <si>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</si>
  <si>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</si>
  <si>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</si>
  <si>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</si>
  <si>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</si>
  <si>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</si>
  <si>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</si>
  <si>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</si>
  <si>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</si>
  <si>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</si>
  <si>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</si>
  <si>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</si>
  <si>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</si>
  <si>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</si>
  <si>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</si>
  <si>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</si>
  <si>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</si>
  <si>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</si>
  <si>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</si>
  <si>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</si>
  <si>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</si>
  <si>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</si>
  <si>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</si>
  <si>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</si>
  <si>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</si>
  <si>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</si>
  <si>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</si>
  <si>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</si>
  <si>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</si>
  <si>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</si>
  <si>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</si>
  <si>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</si>
  <si>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</si>
  <si>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</si>
  <si>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</si>
  <si>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</si>
  <si>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</si>
  <si>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</si>
  <si>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</si>
  <si>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</si>
  <si>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</si>
  <si>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</si>
  <si>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</si>
  <si>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</si>
  <si>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</si>
  <si>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</si>
  <si>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</si>
  <si>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</si>
  <si>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</si>
  <si>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</si>
  <si>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</si>
  <si>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</si>
  <si>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</si>
  <si>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</si>
  <si>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</si>
  <si>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</si>
  <si>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</si>
  <si>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</si>
  <si>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</si>
  <si>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</si>
  <si>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</si>
  <si>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</si>
  <si>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</si>
  <si>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</si>
  <si>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</si>
  <si>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</si>
  <si>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</si>
  <si>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</si>
  <si>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</si>
  <si>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</si>
  <si>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</si>
  <si>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</si>
  <si>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</si>
  <si>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</si>
  <si>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</si>
  <si>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</si>
  <si>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</si>
  <si>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</si>
  <si>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</si>
  <si>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</si>
  <si>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</si>
  <si>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</si>
  <si>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</si>
  <si>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</si>
  <si>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</si>
  <si>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</si>
  <si>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</si>
  <si>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</si>
  <si>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</si>
  <si>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</si>
  <si>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</si>
  <si>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</si>
  <si>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</si>
  <si>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</si>
  <si>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</si>
  <si>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</si>
  <si>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</si>
  <si>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</si>
  <si>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</si>
  <si>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</si>
  <si>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</si>
  <si>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</si>
  <si>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</si>
  <si>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</si>
  <si>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</si>
  <si>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</si>
  <si>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</si>
  <si>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</si>
  <si>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</si>
  <si>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</si>
  <si>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</si>
  <si>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</si>
  <si>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</si>
  <si>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</si>
  <si>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</si>
  <si>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</si>
  <si>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</si>
  <si>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</si>
  <si>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</si>
  <si>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</si>
  <si>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</si>
  <si>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</si>
  <si>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</si>
  <si>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</si>
  <si>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</si>
  <si>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</si>
  <si>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</si>
  <si>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</si>
  <si>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</si>
  <si>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</si>
  <si>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</si>
  <si>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</si>
  <si>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</si>
  <si>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</si>
  <si>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</si>
  <si>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</si>
  <si>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</si>
  <si>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</si>
  <si>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</si>
  <si>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</si>
  <si>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</si>
  <si>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</si>
  <si>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</si>
  <si>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</si>
  <si>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</si>
  <si>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</si>
  <si>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</si>
  <si>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</si>
  <si>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</si>
  <si>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</si>
  <si>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</si>
  <si>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</si>
  <si>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</si>
  <si>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</si>
  <si>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</si>
  <si>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</si>
  <si>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</si>
  <si>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</si>
  <si>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</si>
  <si>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</si>
  <si>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</si>
  <si>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</si>
  <si>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</si>
  <si>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</si>
  <si>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</si>
  <si>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</si>
  <si>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</si>
  <si>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</si>
  <si>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</si>
  <si>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</si>
  <si>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</si>
  <si>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</si>
  <si>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</si>
  <si>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</si>
  <si>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</si>
  <si>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</si>
  <si>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</si>
  <si>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</si>
  <si>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</si>
  <si>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</si>
  <si>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</si>
  <si>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</si>
  <si>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</si>
  <si>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</si>
  <si>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</si>
  <si>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</si>
  <si>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</si>
  <si>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</si>
  <si>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</si>
  <si>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</si>
  <si>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</si>
  <si>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</si>
  <si>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</si>
  <si>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</si>
  <si>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</si>
  <si>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</si>
  <si>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</si>
  <si>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</si>
  <si>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</si>
  <si>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</si>
  <si>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</si>
  <si>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</si>
  <si>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</si>
  <si>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</si>
  <si>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</si>
  <si>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</si>
  <si>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</si>
  <si>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</si>
  <si>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</si>
  <si>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</si>
  <si>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</si>
  <si>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</si>
  <si>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</si>
  <si>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</si>
  <si>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</si>
  <si>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</si>
  <si>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</si>
  <si>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</si>
  <si>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</si>
  <si>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</si>
  <si>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</si>
  <si>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</si>
  <si>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</si>
  <si>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</si>
  <si>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</si>
  <si>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</si>
  <si>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</si>
  <si>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</si>
  <si>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</si>
  <si>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</si>
  <si>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</si>
  <si>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</si>
  <si>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</si>
  <si>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</si>
  <si>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</si>
  <si>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</si>
  <si>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</si>
  <si>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</si>
  <si>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</si>
  <si>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</si>
  <si>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</si>
  <si>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</si>
  <si>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</si>
  <si>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</si>
  <si>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</si>
  <si>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</si>
  <si>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</si>
  <si>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</si>
  <si>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</si>
  <si>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</si>
  <si>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</si>
  <si>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</si>
  <si>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</si>
  <si>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</si>
  <si>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</si>
  <si>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</si>
  <si>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</si>
  <si>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</si>
  <si>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</si>
  <si>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</si>
  <si>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</si>
  <si>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</si>
  <si>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</si>
  <si>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</si>
  <si>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</si>
  <si>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</si>
  <si>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</si>
  <si>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</si>
  <si>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</si>
  <si>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</si>
  <si>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</si>
  <si>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</si>
  <si>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</si>
  <si>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</si>
  <si>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</si>
  <si>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</si>
  <si>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</si>
  <si>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</si>
  <si>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</si>
  <si>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</si>
  <si>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</si>
  <si>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</si>
  <si>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</si>
  <si>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</si>
  <si>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</si>
  <si>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</si>
  <si>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</si>
  <si>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</si>
  <si>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</si>
  <si>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</si>
  <si>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</si>
  <si>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</si>
  <si>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</si>
  <si>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</si>
  <si>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</si>
  <si>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</si>
  <si>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</si>
  <si>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</si>
  <si>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</si>
  <si>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</si>
  <si>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</si>
  <si>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</si>
  <si>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</si>
  <si>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</si>
  <si>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</si>
  <si>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</si>
  <si>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</si>
  <si>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</si>
  <si>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</si>
  <si>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</si>
  <si>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</si>
  <si>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</si>
  <si>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</si>
  <si>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</si>
  <si>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</si>
  <si>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</si>
  <si>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</si>
  <si>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</si>
  <si>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</si>
  <si>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</si>
  <si>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</si>
  <si>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</si>
  <si>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</si>
  <si>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</si>
  <si>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</si>
  <si>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</si>
  <si>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</si>
  <si>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</si>
  <si>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</si>
  <si>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</si>
  <si>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</si>
  <si>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</si>
  <si>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</si>
  <si>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</si>
  <si>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</si>
  <si>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</si>
  <si>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</si>
  <si>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</si>
  <si>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</si>
  <si>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</si>
  <si>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</si>
  <si>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</si>
  <si>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</si>
  <si>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</si>
  <si>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</si>
  <si>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</si>
  <si>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</si>
  <si>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</si>
  <si>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</si>
  <si>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</si>
  <si>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</si>
  <si>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</si>
  <si>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</si>
  <si>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</si>
  <si>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</si>
  <si>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</si>
  <si>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</si>
  <si>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</si>
  <si>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</si>
  <si>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</si>
  <si>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</si>
  <si>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</si>
  <si>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</si>
  <si>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</si>
  <si>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</si>
  <si>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</si>
  <si>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</si>
  <si>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</si>
  <si>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</si>
  <si>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</si>
  <si>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</si>
  <si>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</si>
  <si>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</si>
  <si>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</si>
  <si>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</si>
  <si>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</si>
  <si>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</si>
  <si>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</si>
  <si>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</si>
  <si>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</si>
  <si>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</si>
  <si>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</si>
  <si>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</si>
  <si>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</si>
  <si>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</si>
  <si>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</si>
  <si>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</si>
  <si>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</si>
  <si>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</si>
  <si>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</si>
  <si>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</si>
  <si>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</si>
  <si>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</si>
  <si>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</si>
  <si>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</si>
  <si>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</si>
  <si>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</si>
  <si>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</si>
  <si>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</si>
  <si>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</si>
  <si>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</si>
  <si>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</si>
  <si>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</si>
  <si>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</si>
  <si>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</si>
  <si>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</si>
  <si>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</si>
  <si>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</si>
  <si>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</si>
  <si>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</si>
  <si>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</si>
  <si>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</si>
  <si>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</si>
  <si>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</si>
  <si>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</si>
  <si>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</si>
  <si>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</si>
  <si>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</si>
  <si>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</si>
  <si>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</si>
  <si>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</si>
  <si>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</si>
  <si>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</si>
  <si>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</si>
  <si>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</si>
  <si>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</si>
  <si>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</si>
  <si>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</si>
  <si>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</si>
  <si>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</si>
  <si>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</si>
  <si>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</si>
  <si>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</si>
  <si>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</si>
  <si>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</si>
  <si>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</si>
  <si>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</si>
  <si>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</si>
  <si>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</si>
  <si>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</si>
  <si>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</si>
  <si>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</si>
  <si>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</si>
  <si>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</si>
  <si>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</si>
  <si>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</si>
  <si>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</si>
  <si>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</si>
  <si>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</si>
  <si>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</si>
  <si>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</si>
  <si>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</si>
  <si>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</si>
  <si>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</si>
  <si>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</si>
  <si>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</si>
  <si>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</si>
  <si>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</si>
  <si>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</si>
  <si>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</si>
  <si>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</si>
  <si>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</si>
  <si>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</si>
  <si>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</si>
  <si>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</si>
  <si>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</si>
  <si>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</si>
  <si>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</si>
  <si>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</si>
  <si>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</si>
  <si>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</si>
  <si>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</si>
  <si>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</si>
  <si>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</si>
  <si>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</si>
  <si>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</si>
  <si>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</si>
  <si>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</si>
  <si>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</si>
  <si>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</si>
  <si>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</si>
  <si>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</si>
  <si>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</si>
  <si>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</si>
  <si>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</si>
  <si>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</si>
  <si>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</si>
  <si>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</si>
  <si>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</si>
  <si>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</si>
  <si>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</si>
  <si>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</si>
  <si>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</si>
  <si>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</si>
  <si>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</si>
  <si>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</si>
  <si>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</si>
  <si>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</si>
  <si>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</si>
  <si>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</si>
  <si>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</si>
  <si>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</si>
  <si>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</si>
  <si>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</si>
  <si>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</si>
  <si>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</si>
  <si>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</si>
  <si>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</si>
  <si>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</si>
  <si>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</si>
  <si>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</si>
  <si>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</si>
  <si>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</si>
  <si>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</si>
  <si>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</si>
  <si>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</si>
  <si>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</si>
  <si>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</si>
  <si>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</si>
  <si>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</si>
  <si>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</si>
  <si>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</si>
  <si>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</si>
  <si>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</si>
  <si>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</si>
  <si>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</si>
  <si>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</si>
  <si>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</si>
  <si>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</si>
  <si>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</si>
  <si>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</si>
  <si>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</si>
  <si>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</si>
  <si>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</si>
  <si>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</si>
  <si>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</si>
  <si>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</si>
  <si>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</si>
  <si>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</si>
  <si>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</si>
  <si>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</si>
  <si>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</si>
  <si>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</si>
  <si>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</si>
  <si>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</si>
  <si>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</si>
  <si>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</si>
  <si>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</si>
  <si>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</si>
  <si>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</si>
  <si>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</si>
  <si>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</si>
  <si>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</si>
  <si>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</si>
  <si>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</si>
  <si>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</si>
  <si>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</si>
  <si>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</si>
  <si>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</si>
  <si>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</si>
  <si>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</si>
  <si>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</si>
  <si>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</si>
  <si>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</si>
  <si>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</si>
  <si>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</si>
  <si>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</si>
  <si>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</si>
  <si>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</si>
  <si>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</si>
  <si>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</si>
  <si>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</si>
  <si>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</si>
  <si>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</si>
  <si>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</si>
  <si>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</si>
  <si>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</si>
  <si>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</si>
  <si>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</si>
  <si>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</si>
  <si>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</si>
  <si>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</si>
  <si>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</si>
  <si>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</si>
  <si>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</si>
  <si>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</si>
  <si>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</si>
  <si>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</si>
  <si>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</si>
  <si>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</si>
  <si>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</si>
  <si>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</si>
  <si>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</si>
  <si>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</si>
  <si>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</si>
  <si>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</si>
  <si>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</si>
  <si>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</si>
  <si>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</si>
  <si>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</si>
  <si>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</si>
  <si>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</si>
  <si>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</si>
  <si>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</si>
  <si>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</si>
  <si>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</si>
  <si>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</si>
  <si>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</si>
  <si>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</si>
  <si>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</si>
  <si>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</si>
  <si>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</si>
  <si>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</si>
  <si>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</si>
  <si>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</si>
  <si>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</si>
  <si>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</si>
  <si>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</si>
  <si>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</si>
  <si>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</si>
  <si>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</si>
  <si>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</si>
  <si>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</si>
  <si>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Newfound Area School District - SAU #4</t>
  </si>
  <si>
    <t>01/26</t>
  </si>
  <si>
    <t>07/10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</si>
</sst>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388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336164.61+572907.44</f>
        <v>909072.04999999993</v>
      </c>
      <c r="G9" s="18">
        <f>48545.02+188+23689.78</f>
        <v>72422.799999999988</v>
      </c>
      <c r="H9" s="18"/>
      <c r="I9" s="18"/>
      <c r="J9" s="67">
        <f>SUM(I438)</f>
        <v>135820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6444.66</v>
      </c>
      <c r="G10" s="18"/>
      <c r="H10" s="18"/>
      <c r="I10" s="18"/>
      <c r="J10" s="67">
        <f>SUM(I439)</f>
        <v>118016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67305.55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34373.370000000003</v>
      </c>
      <c r="G13" s="18">
        <v>13002.89</v>
      </c>
      <c r="H13" s="18">
        <v>170604.03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2582.23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13338.01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1019777.86</v>
      </c>
      <c r="G19" s="41">
        <f>SUM(G9:G18)</f>
        <v>98763.699999999983</v>
      </c>
      <c r="H19" s="41">
        <f>SUM(H9:H18)</f>
        <v>170604.03</v>
      </c>
      <c r="I19" s="41">
        <f>SUM(I9:I18)</f>
        <v>0</v>
      </c>
      <c r="J19" s="41">
        <f>SUM(J9:J18)</f>
        <v>253836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90995.33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3094.08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68256.95+123473.57</f>
        <v>191730.52000000002</v>
      </c>
      <c r="G24" s="18">
        <v>735.29</v>
      </c>
      <c r="H24" s="18">
        <v>13472.08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66834.37</v>
      </c>
      <c r="G30" s="18">
        <v>13391.98</v>
      </c>
      <c r="H30" s="18">
        <v>65137.57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261658.97</v>
      </c>
      <c r="G32" s="41">
        <f>SUM(G22:G31)</f>
        <v>14127.27</v>
      </c>
      <c r="H32" s="41">
        <f>SUM(H22:H31)</f>
        <v>169604.98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118016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13338.01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71298.42</v>
      </c>
      <c r="H47" s="18">
        <v>999.05</v>
      </c>
      <c r="I47" s="18"/>
      <c r="J47" s="13">
        <f>SUM(I458)</f>
        <v>135820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698118.89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758118.89</v>
      </c>
      <c r="G50" s="41">
        <f>SUM(G35:G49)</f>
        <v>84636.43</v>
      </c>
      <c r="H50" s="41">
        <f>SUM(H35:H49)</f>
        <v>999.05</v>
      </c>
      <c r="I50" s="41">
        <f>SUM(I35:I49)</f>
        <v>0</v>
      </c>
      <c r="J50" s="41">
        <f>SUM(J35:J49)</f>
        <v>253836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1019777.86</v>
      </c>
      <c r="G51" s="41">
        <f>G50+G32</f>
        <v>98763.7</v>
      </c>
      <c r="H51" s="41">
        <f>H50+H32</f>
        <v>170604.03</v>
      </c>
      <c r="I51" s="41">
        <f>I50+I32</f>
        <v>0</v>
      </c>
      <c r="J51" s="41">
        <f>J50+J32</f>
        <v>253836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2548480+968201+4395013+1565882+353258+189293+2879925</f>
        <v>12900052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12900052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1050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16494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51676.1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271">
        <v>1160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70380.100000000006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2771.3</v>
      </c>
      <c r="G95" s="18">
        <v>119.04</v>
      </c>
      <c r="H95" s="18"/>
      <c r="I95" s="18"/>
      <c r="J95" s="18">
        <v>524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268379.65999999997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3397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603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1000</v>
      </c>
      <c r="G101" s="18"/>
      <c r="H101" s="18">
        <v>111481.11</v>
      </c>
      <c r="I101" s="18"/>
      <c r="J101" s="18">
        <v>347093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300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17007.62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f>979.57+73384.83</f>
        <v>74364.400000000009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50355.69</v>
      </c>
      <c r="G109" s="18"/>
      <c r="H109" s="18">
        <f>11811.87+9820.29</f>
        <v>21632.160000000003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149799.01</v>
      </c>
      <c r="G110" s="41">
        <f>SUM(G95:G109)</f>
        <v>268498.69999999995</v>
      </c>
      <c r="H110" s="41">
        <f>SUM(H95:H109)</f>
        <v>133113.27000000002</v>
      </c>
      <c r="I110" s="41">
        <f>SUM(I95:I109)</f>
        <v>0</v>
      </c>
      <c r="J110" s="41">
        <f>SUM(J95:J109)</f>
        <v>347617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13120231.109999999</v>
      </c>
      <c r="G111" s="41">
        <f>G59+G110</f>
        <v>268498.69999999995</v>
      </c>
      <c r="H111" s="41">
        <f>H59+H78+H93+H110</f>
        <v>133113.27000000002</v>
      </c>
      <c r="I111" s="41">
        <f>I59+I110</f>
        <v>0</v>
      </c>
      <c r="J111" s="41">
        <f>J59+J110</f>
        <v>347617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3783497.85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4143434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3278.15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7930210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97426.21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114299.51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5776.92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5668.33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217502.64</v>
      </c>
      <c r="G135" s="41">
        <f>SUM(G122:G134)</f>
        <v>5668.33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8147712.6399999997</v>
      </c>
      <c r="G139" s="41">
        <f>G120+SUM(G135:G136)</f>
        <v>5668.33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395111.84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642178.32999999996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272598.14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400570.98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314677.26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212437.81</v>
      </c>
      <c r="G160" s="18">
        <v>26554.17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527115.07000000007</v>
      </c>
      <c r="G161" s="41">
        <f>SUM(G149:G160)</f>
        <v>299152.31</v>
      </c>
      <c r="H161" s="41">
        <f>SUM(H149:H160)</f>
        <v>1437861.15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3376.65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530491.72000000009</v>
      </c>
      <c r="G168" s="41">
        <f>G146+G161+SUM(G162:G167)</f>
        <v>299152.31</v>
      </c>
      <c r="H168" s="41">
        <f>H146+H161+SUM(H162:H167)</f>
        <v>1437861.15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20000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20000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20000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21798435.469999999</v>
      </c>
      <c r="G192" s="47">
        <f>G111+G139+G168+G191</f>
        <v>593319.34</v>
      </c>
      <c r="H192" s="47">
        <f>H111+H139+H168+H191</f>
        <v>1570974.42</v>
      </c>
      <c r="I192" s="47">
        <f>I111+I139+I168+I191</f>
        <v>0</v>
      </c>
      <c r="J192" s="47">
        <f>J111+J139+J191</f>
        <v>347617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2450435.54</v>
      </c>
      <c r="G196" s="18">
        <f>1130602.93+47464.8+(120875.11*(6/13))</f>
        <v>1233856.2423076923</v>
      </c>
      <c r="H196" s="18">
        <v>41545.85</v>
      </c>
      <c r="I196" s="18">
        <v>106828.7</v>
      </c>
      <c r="J196" s="18">
        <v>1779.02</v>
      </c>
      <c r="K196" s="18"/>
      <c r="L196" s="19">
        <f>SUM(F196:K196)</f>
        <v>3834445.3523076926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877396.78</v>
      </c>
      <c r="G197" s="18">
        <v>646622.88</v>
      </c>
      <c r="H197" s="18">
        <v>287181.05</v>
      </c>
      <c r="I197" s="18">
        <v>5740.89</v>
      </c>
      <c r="J197" s="18">
        <v>1888.95</v>
      </c>
      <c r="K197" s="18">
        <v>655.03</v>
      </c>
      <c r="L197" s="19">
        <f>SUM(F197:K197)</f>
        <v>1819485.58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2412</v>
      </c>
      <c r="G199" s="18">
        <v>394.61</v>
      </c>
      <c r="H199" s="18"/>
      <c r="I199" s="18"/>
      <c r="J199" s="18"/>
      <c r="K199" s="18"/>
      <c r="L199" s="19">
        <f>SUM(F199:K199)</f>
        <v>2806.61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502894.34</v>
      </c>
      <c r="G201" s="18">
        <v>246190.71</v>
      </c>
      <c r="H201" s="18">
        <v>201896.79</v>
      </c>
      <c r="I201" s="18">
        <v>7333.47</v>
      </c>
      <c r="J201" s="18">
        <v>213.39</v>
      </c>
      <c r="K201" s="18">
        <v>145</v>
      </c>
      <c r="L201" s="19">
        <f t="shared" ref="L201:L207" si="0">SUM(F201:K201)</f>
        <v>958673.70000000007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66435.320000000007</v>
      </c>
      <c r="G202" s="18">
        <v>35133.68</v>
      </c>
      <c r="H202" s="18">
        <v>37724.1</v>
      </c>
      <c r="I202" s="18">
        <v>37517.5</v>
      </c>
      <c r="J202" s="18">
        <v>28887.38</v>
      </c>
      <c r="K202" s="18">
        <v>72320.759999999995</v>
      </c>
      <c r="L202" s="19">
        <f t="shared" si="0"/>
        <v>278018.74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201253.97</v>
      </c>
      <c r="G203" s="18">
        <v>86665.43</v>
      </c>
      <c r="H203" s="18">
        <v>52068.59</v>
      </c>
      <c r="I203" s="18">
        <v>7483.24</v>
      </c>
      <c r="J203" s="18">
        <v>1320.94</v>
      </c>
      <c r="K203" s="18">
        <v>8127.07</v>
      </c>
      <c r="L203" s="19">
        <f t="shared" si="0"/>
        <v>356919.24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415331.61</v>
      </c>
      <c r="G204" s="18">
        <v>200955.34</v>
      </c>
      <c r="H204" s="18">
        <v>20732.29</v>
      </c>
      <c r="I204" s="18">
        <v>2071.4</v>
      </c>
      <c r="J204" s="18"/>
      <c r="K204" s="18">
        <v>3760.42</v>
      </c>
      <c r="L204" s="19">
        <f t="shared" si="0"/>
        <v>642851.06000000006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237510.81</v>
      </c>
      <c r="G206" s="18">
        <v>87799.34</v>
      </c>
      <c r="H206" s="18">
        <v>111367.67</v>
      </c>
      <c r="I206" s="18">
        <v>176480.85</v>
      </c>
      <c r="J206" s="18">
        <v>800.52</v>
      </c>
      <c r="K206" s="18"/>
      <c r="L206" s="19">
        <f t="shared" si="0"/>
        <v>613959.19000000006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573953.05000000005</v>
      </c>
      <c r="I207" s="18">
        <v>74394.3</v>
      </c>
      <c r="J207" s="18"/>
      <c r="K207" s="18"/>
      <c r="L207" s="19">
        <f t="shared" si="0"/>
        <v>648347.35000000009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4753670.37</v>
      </c>
      <c r="G210" s="41">
        <f t="shared" si="1"/>
        <v>2537618.2323076925</v>
      </c>
      <c r="H210" s="41">
        <f t="shared" si="1"/>
        <v>1326469.3900000001</v>
      </c>
      <c r="I210" s="41">
        <f t="shared" si="1"/>
        <v>417850.35</v>
      </c>
      <c r="J210" s="41">
        <f t="shared" si="1"/>
        <v>34890.199999999997</v>
      </c>
      <c r="K210" s="41">
        <f t="shared" si="1"/>
        <v>85008.279999999984</v>
      </c>
      <c r="L210" s="41">
        <f t="shared" si="1"/>
        <v>9155506.8223076928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1203357.3799999999</v>
      </c>
      <c r="G214" s="18">
        <f>545709.78+23318.47+(120875.11*(3/13))</f>
        <v>596922.50615384616</v>
      </c>
      <c r="H214" s="18">
        <v>13840.48</v>
      </c>
      <c r="I214" s="18">
        <v>31337.97</v>
      </c>
      <c r="J214" s="18">
        <v>2801.73</v>
      </c>
      <c r="K214" s="18">
        <v>336</v>
      </c>
      <c r="L214" s="19">
        <f>SUM(F214:K214)</f>
        <v>1848596.066153846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445256.42</v>
      </c>
      <c r="G215" s="18">
        <v>418438.94</v>
      </c>
      <c r="H215" s="18">
        <v>113457.27</v>
      </c>
      <c r="I215" s="18">
        <v>2158.1</v>
      </c>
      <c r="J215" s="18"/>
      <c r="K215" s="18">
        <v>650</v>
      </c>
      <c r="L215" s="19">
        <f>SUM(F215:K215)</f>
        <v>979960.73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48200</v>
      </c>
      <c r="G217" s="18">
        <v>6857.83</v>
      </c>
      <c r="H217" s="18"/>
      <c r="I217" s="18">
        <v>5663.5</v>
      </c>
      <c r="J217" s="18">
        <v>2359</v>
      </c>
      <c r="K217" s="18">
        <v>9260</v>
      </c>
      <c r="L217" s="19">
        <f>SUM(F217:K217)</f>
        <v>72340.33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260615.8</v>
      </c>
      <c r="G219" s="18">
        <v>111355.91</v>
      </c>
      <c r="H219" s="18">
        <v>107147.63</v>
      </c>
      <c r="I219" s="18">
        <v>2368.9899999999998</v>
      </c>
      <c r="J219" s="18">
        <v>65.62</v>
      </c>
      <c r="K219" s="18">
        <v>80</v>
      </c>
      <c r="L219" s="19">
        <f t="shared" ref="L219:L225" si="2">SUM(F219:K219)</f>
        <v>481633.94999999995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82595.19</v>
      </c>
      <c r="G220" s="18">
        <v>34894.76</v>
      </c>
      <c r="H220" s="18">
        <v>15729.55</v>
      </c>
      <c r="I220" s="18">
        <v>15324.72</v>
      </c>
      <c r="J220" s="18">
        <v>42959.92</v>
      </c>
      <c r="K220" s="18">
        <v>31943.1</v>
      </c>
      <c r="L220" s="19">
        <f t="shared" si="2"/>
        <v>223447.24000000002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102541.86</v>
      </c>
      <c r="G221" s="18">
        <v>47040.47</v>
      </c>
      <c r="H221" s="18">
        <v>24696.25</v>
      </c>
      <c r="I221" s="18">
        <v>3737.08</v>
      </c>
      <c r="J221" s="18">
        <v>690.3</v>
      </c>
      <c r="K221" s="18">
        <v>4030.41</v>
      </c>
      <c r="L221" s="19">
        <f t="shared" si="2"/>
        <v>182736.37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182151.14</v>
      </c>
      <c r="G222" s="18">
        <v>75540.679999999993</v>
      </c>
      <c r="H222" s="18">
        <v>9041.51</v>
      </c>
      <c r="I222" s="18">
        <v>895.48</v>
      </c>
      <c r="J222" s="18"/>
      <c r="K222" s="18">
        <v>2418.9</v>
      </c>
      <c r="L222" s="19">
        <f t="shared" si="2"/>
        <v>270047.71000000002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132187.82999999999</v>
      </c>
      <c r="G224" s="18">
        <v>65913.919999999998</v>
      </c>
      <c r="H224" s="18">
        <v>89636.46</v>
      </c>
      <c r="I224" s="18">
        <v>101857.53</v>
      </c>
      <c r="J224" s="18">
        <v>288.25</v>
      </c>
      <c r="K224" s="18"/>
      <c r="L224" s="19">
        <f t="shared" si="2"/>
        <v>389883.99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250874.15</v>
      </c>
      <c r="I225" s="18">
        <v>35925.25</v>
      </c>
      <c r="J225" s="18"/>
      <c r="K225" s="18"/>
      <c r="L225" s="19">
        <f t="shared" si="2"/>
        <v>286799.40000000002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2456905.62</v>
      </c>
      <c r="G228" s="41">
        <f>SUM(G214:G227)</f>
        <v>1356965.0161538459</v>
      </c>
      <c r="H228" s="41">
        <f>SUM(H214:H227)</f>
        <v>624423.30000000005</v>
      </c>
      <c r="I228" s="41">
        <f>SUM(I214:I227)</f>
        <v>199268.62</v>
      </c>
      <c r="J228" s="41">
        <f>SUM(J214:J227)</f>
        <v>49164.82</v>
      </c>
      <c r="K228" s="41">
        <f t="shared" si="3"/>
        <v>48718.409999999996</v>
      </c>
      <c r="L228" s="41">
        <f t="shared" si="3"/>
        <v>4735445.7861538474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1939036.51</v>
      </c>
      <c r="G232" s="18">
        <f>875672.29+35086.2+(120875.11*(4/13))</f>
        <v>947950.8315384615</v>
      </c>
      <c r="H232" s="18">
        <f>2821.05+17605.99+6091.09</f>
        <v>26518.13</v>
      </c>
      <c r="I232" s="18">
        <v>82530.28</v>
      </c>
      <c r="J232" s="18">
        <v>8630.66</v>
      </c>
      <c r="K232" s="18">
        <v>10843</v>
      </c>
      <c r="L232" s="19">
        <f>SUM(F232:K232)</f>
        <v>3015509.4115384612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569692.52</v>
      </c>
      <c r="G233" s="18">
        <v>401728.25</v>
      </c>
      <c r="H233" s="18">
        <v>583901.04</v>
      </c>
      <c r="I233" s="18">
        <v>4779.88</v>
      </c>
      <c r="J233" s="18"/>
      <c r="K233" s="18">
        <v>650</v>
      </c>
      <c r="L233" s="19">
        <f>SUM(F233:K233)</f>
        <v>1560751.69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32008.75</v>
      </c>
      <c r="I234" s="18"/>
      <c r="J234" s="18"/>
      <c r="K234" s="18"/>
      <c r="L234" s="19">
        <f>SUM(F234:K234)</f>
        <v>32008.75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171247.98</v>
      </c>
      <c r="G235" s="18">
        <v>30840.45</v>
      </c>
      <c r="H235" s="18">
        <v>1000.44</v>
      </c>
      <c r="I235" s="18">
        <v>25210.67</v>
      </c>
      <c r="J235" s="18">
        <v>7956.08</v>
      </c>
      <c r="K235" s="18">
        <v>42351.73</v>
      </c>
      <c r="L235" s="19">
        <f>SUM(F235:K235)</f>
        <v>278607.35000000003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271939.7</v>
      </c>
      <c r="G237" s="18">
        <v>81570.59</v>
      </c>
      <c r="H237" s="18">
        <f>145703.81+1594.56</f>
        <v>147298.37</v>
      </c>
      <c r="I237" s="18">
        <v>5900.68</v>
      </c>
      <c r="J237" s="18">
        <v>330.44</v>
      </c>
      <c r="K237" s="18">
        <v>27</v>
      </c>
      <c r="L237" s="19">
        <f t="shared" ref="L237:L243" si="4">SUM(F237:K237)</f>
        <v>507066.78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96820.78</v>
      </c>
      <c r="G238" s="18">
        <v>69674.92</v>
      </c>
      <c r="H238" s="18">
        <f>20572.75+1513.07</f>
        <v>22085.82</v>
      </c>
      <c r="I238" s="18">
        <v>30789.14</v>
      </c>
      <c r="J238" s="18">
        <v>62680.58</v>
      </c>
      <c r="K238" s="18">
        <v>52725.7</v>
      </c>
      <c r="L238" s="19">
        <f t="shared" si="4"/>
        <v>334776.94000000006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147245.32999999999</v>
      </c>
      <c r="G239" s="18">
        <v>64650.11</v>
      </c>
      <c r="H239" s="18">
        <f>26389.14+4962.68+10333.46</f>
        <v>41685.279999999999</v>
      </c>
      <c r="I239" s="18">
        <v>6815.43</v>
      </c>
      <c r="J239" s="18">
        <v>995.92</v>
      </c>
      <c r="K239" s="18">
        <v>5736.64</v>
      </c>
      <c r="L239" s="19">
        <f t="shared" si="4"/>
        <v>267128.71000000002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285428.75</v>
      </c>
      <c r="G240" s="18">
        <v>143414.59</v>
      </c>
      <c r="H240" s="18">
        <f>2546+12125.08</f>
        <v>14671.08</v>
      </c>
      <c r="I240" s="18">
        <v>2058</v>
      </c>
      <c r="J240" s="18">
        <v>266.49</v>
      </c>
      <c r="K240" s="18">
        <v>16077.05</v>
      </c>
      <c r="L240" s="19">
        <f t="shared" si="4"/>
        <v>461915.95999999996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148377.51</v>
      </c>
      <c r="G242" s="18">
        <v>63992.77</v>
      </c>
      <c r="H242" s="18">
        <v>120518.46</v>
      </c>
      <c r="I242" s="18">
        <v>134485.45000000001</v>
      </c>
      <c r="J242" s="18">
        <v>1562.91</v>
      </c>
      <c r="K242" s="18"/>
      <c r="L242" s="19">
        <f t="shared" si="4"/>
        <v>468937.1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452259.79</v>
      </c>
      <c r="I243" s="18">
        <v>52977.03</v>
      </c>
      <c r="J243" s="18"/>
      <c r="K243" s="18"/>
      <c r="L243" s="19">
        <f t="shared" si="4"/>
        <v>505236.81999999995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3629789.08</v>
      </c>
      <c r="G246" s="41">
        <f t="shared" si="5"/>
        <v>1803822.5115384618</v>
      </c>
      <c r="H246" s="41">
        <f t="shared" si="5"/>
        <v>1441947.16</v>
      </c>
      <c r="I246" s="41">
        <f t="shared" si="5"/>
        <v>345546.56000000006</v>
      </c>
      <c r="J246" s="41">
        <f t="shared" si="5"/>
        <v>82423.08</v>
      </c>
      <c r="K246" s="41">
        <f t="shared" si="5"/>
        <v>128411.12</v>
      </c>
      <c r="L246" s="41">
        <f t="shared" si="5"/>
        <v>7431939.5115384609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4650</v>
      </c>
      <c r="I254" s="18"/>
      <c r="J254" s="18"/>
      <c r="K254" s="18"/>
      <c r="L254" s="19">
        <f t="shared" si="6"/>
        <v>4650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4650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4650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10840365.07</v>
      </c>
      <c r="G256" s="41">
        <f t="shared" si="8"/>
        <v>5698405.7599999998</v>
      </c>
      <c r="H256" s="41">
        <f t="shared" si="8"/>
        <v>3397489.85</v>
      </c>
      <c r="I256" s="41">
        <f t="shared" si="8"/>
        <v>962665.53</v>
      </c>
      <c r="J256" s="41">
        <f t="shared" si="8"/>
        <v>166478.09999999998</v>
      </c>
      <c r="K256" s="41">
        <f t="shared" si="8"/>
        <v>262137.80999999997</v>
      </c>
      <c r="L256" s="41">
        <f t="shared" si="8"/>
        <v>21327542.120000001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177138.1</v>
      </c>
      <c r="L259" s="19">
        <f>SUM(F259:K259)</f>
        <v>177138.1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217717.6</v>
      </c>
      <c r="L260" s="19">
        <f>SUM(F260:K260)</f>
        <v>217717.6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20000</v>
      </c>
      <c r="L262" s="19">
        <f>SUM(F262:K262)</f>
        <v>20000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414855.7</v>
      </c>
      <c r="L269" s="41">
        <f t="shared" si="9"/>
        <v>414855.7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10840365.07</v>
      </c>
      <c r="G270" s="42">
        <f t="shared" si="11"/>
        <v>5698405.7599999998</v>
      </c>
      <c r="H270" s="42">
        <f t="shared" si="11"/>
        <v>3397489.85</v>
      </c>
      <c r="I270" s="42">
        <f t="shared" si="11"/>
        <v>962665.53</v>
      </c>
      <c r="J270" s="42">
        <f t="shared" si="11"/>
        <v>166478.09999999998</v>
      </c>
      <c r="K270" s="42">
        <f t="shared" si="11"/>
        <v>676993.51</v>
      </c>
      <c r="L270" s="42">
        <f t="shared" si="11"/>
        <v>21742397.82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8880+69808.9+6554.67+120053.29+94543.84+129479.3+6440.14+5350+1152</f>
        <v>442262.13999999996</v>
      </c>
      <c r="G275" s="18">
        <f>1605.91+31093.89+3386.59+957.52+9178.47+1067.54+88.14+510.96+566.73+13.08+2199.69+740.67+13557.74+576.17</f>
        <v>65543.100000000006</v>
      </c>
      <c r="H275" s="18"/>
      <c r="I275" s="18">
        <f>5773.7+104.91+337.7+465.3+2877.93+675+70+7510.86+263.2+147.25</f>
        <v>18225.849999999999</v>
      </c>
      <c r="J275" s="18"/>
      <c r="K275" s="18"/>
      <c r="L275" s="19">
        <f>SUM(F275:K275)</f>
        <v>526031.09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58845.89+10802.47</f>
        <v>69648.36</v>
      </c>
      <c r="G276" s="18"/>
      <c r="H276" s="18"/>
      <c r="I276" s="18">
        <f>9837.59+3207.85</f>
        <v>13045.44</v>
      </c>
      <c r="J276" s="18">
        <f>3041.64+249</f>
        <v>3290.64</v>
      </c>
      <c r="K276" s="18"/>
      <c r="L276" s="19">
        <f>SUM(F276:K276)</f>
        <v>85984.44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54963</v>
      </c>
      <c r="G278" s="18">
        <f>4169.36+1956.67+1752.95</f>
        <v>7878.98</v>
      </c>
      <c r="H278" s="18">
        <f>3420+10002</f>
        <v>13422</v>
      </c>
      <c r="I278" s="18">
        <f>5252.37+9820.29+300</f>
        <v>15372.66</v>
      </c>
      <c r="J278" s="18"/>
      <c r="K278" s="18"/>
      <c r="L278" s="19">
        <f>SUM(F278:K278)</f>
        <v>91636.64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2358.84</v>
      </c>
      <c r="I280" s="18"/>
      <c r="J280" s="18"/>
      <c r="K280" s="18"/>
      <c r="L280" s="19">
        <f t="shared" ref="L280:L286" si="12">SUM(F280:K280)</f>
        <v>2358.84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37120+29800+47811.09+2266.26+10500</f>
        <v>127497.34999999999</v>
      </c>
      <c r="I281" s="18"/>
      <c r="J281" s="18">
        <f>(25212.6*(6/13))+(54933.27*(6/13))</f>
        <v>36990.401538461541</v>
      </c>
      <c r="K281" s="18"/>
      <c r="L281" s="19">
        <f t="shared" si="12"/>
        <v>164487.75153846154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315</v>
      </c>
      <c r="I282" s="18">
        <v>3654.57</v>
      </c>
      <c r="J282" s="18"/>
      <c r="K282" s="18"/>
      <c r="L282" s="19">
        <f t="shared" si="12"/>
        <v>3969.57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>
        <v>-70</v>
      </c>
      <c r="L283" s="19">
        <f t="shared" si="12"/>
        <v>-70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5655.59</v>
      </c>
      <c r="I286" s="18"/>
      <c r="J286" s="18"/>
      <c r="K286" s="18"/>
      <c r="L286" s="19">
        <f t="shared" si="12"/>
        <v>5655.59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566873.5</v>
      </c>
      <c r="G289" s="42">
        <f t="shared" si="13"/>
        <v>73422.080000000002</v>
      </c>
      <c r="H289" s="42">
        <f t="shared" si="13"/>
        <v>149248.78</v>
      </c>
      <c r="I289" s="42">
        <f t="shared" si="13"/>
        <v>50298.52</v>
      </c>
      <c r="J289" s="42">
        <f t="shared" si="13"/>
        <v>40281.041538461541</v>
      </c>
      <c r="K289" s="42">
        <f t="shared" si="13"/>
        <v>-70</v>
      </c>
      <c r="L289" s="41">
        <f t="shared" si="13"/>
        <v>880053.92153846147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59494</v>
      </c>
      <c r="G295" s="18"/>
      <c r="H295" s="18"/>
      <c r="I295" s="18"/>
      <c r="J295" s="18"/>
      <c r="K295" s="18"/>
      <c r="L295" s="19">
        <f>SUM(F295:K295)</f>
        <v>59494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80000</v>
      </c>
      <c r="G297" s="18"/>
      <c r="H297" s="18">
        <f>17625+2640.56</f>
        <v>20265.560000000001</v>
      </c>
      <c r="I297" s="18">
        <f>10200+9612.82</f>
        <v>19812.82</v>
      </c>
      <c r="J297" s="18"/>
      <c r="K297" s="18"/>
      <c r="L297" s="19">
        <f>SUM(F297:K297)</f>
        <v>120078.38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f>1800+75600</f>
        <v>77400</v>
      </c>
      <c r="I299" s="18"/>
      <c r="J299" s="18"/>
      <c r="K299" s="18"/>
      <c r="L299" s="19">
        <f t="shared" ref="L299:L305" si="14">SUM(F299:K299)</f>
        <v>77400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f>300+2400+3450</f>
        <v>6150</v>
      </c>
      <c r="I300" s="18">
        <v>3072.22</v>
      </c>
      <c r="J300" s="18">
        <f>(25212.6*(3/13))+(54933.27*(3/13))</f>
        <v>18495.200769230771</v>
      </c>
      <c r="K300" s="18"/>
      <c r="L300" s="19">
        <f t="shared" si="14"/>
        <v>27717.420769230768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f>52776.49+9811.84</f>
        <v>62588.33</v>
      </c>
      <c r="L301" s="19">
        <f t="shared" si="14"/>
        <v>62588.33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2500</v>
      </c>
      <c r="G302" s="18">
        <f>107.75+282.5</f>
        <v>390.25</v>
      </c>
      <c r="H302" s="18"/>
      <c r="I302" s="18"/>
      <c r="J302" s="18"/>
      <c r="K302" s="18"/>
      <c r="L302" s="19">
        <f t="shared" si="14"/>
        <v>2890.25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141994</v>
      </c>
      <c r="G308" s="42">
        <f t="shared" si="15"/>
        <v>390.25</v>
      </c>
      <c r="H308" s="42">
        <f t="shared" si="15"/>
        <v>103815.56</v>
      </c>
      <c r="I308" s="42">
        <f t="shared" si="15"/>
        <v>22885.040000000001</v>
      </c>
      <c r="J308" s="42">
        <f t="shared" si="15"/>
        <v>18495.200769230771</v>
      </c>
      <c r="K308" s="42">
        <f t="shared" si="15"/>
        <v>62588.33</v>
      </c>
      <c r="L308" s="41">
        <f t="shared" si="15"/>
        <v>350168.38076923077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715</f>
        <v>715</v>
      </c>
      <c r="G313" s="18"/>
      <c r="H313" s="18"/>
      <c r="I313" s="18">
        <f>932.8+4830.43</f>
        <v>5763.2300000000005</v>
      </c>
      <c r="J313" s="18"/>
      <c r="K313" s="18"/>
      <c r="L313" s="19">
        <f>SUM(F313:K313)</f>
        <v>6478.2300000000005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3720+4674.16+81268.16</f>
        <v>89662.32</v>
      </c>
      <c r="G316" s="18">
        <f>270.14+340.08+420.36+397.76</f>
        <v>1428.34</v>
      </c>
      <c r="H316" s="18">
        <f>17625+2129.81+1509.44</f>
        <v>21264.25</v>
      </c>
      <c r="I316" s="18">
        <f>10196.3+3738.48+1169.08+10000+1370.64</f>
        <v>26474.5</v>
      </c>
      <c r="J316" s="18"/>
      <c r="K316" s="18"/>
      <c r="L316" s="19">
        <f>SUM(F316:K316)</f>
        <v>138829.41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f>15607.49+5156.42+3198+36658.03+190+3505</f>
        <v>64314.94</v>
      </c>
      <c r="I318" s="18">
        <f>1171.35+1287.84+59.95</f>
        <v>2519.1399999999994</v>
      </c>
      <c r="J318" s="18"/>
      <c r="K318" s="18"/>
      <c r="L318" s="19">
        <f t="shared" ref="L318:L324" si="16">SUM(F318:K318)</f>
        <v>66834.080000000002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4325</v>
      </c>
      <c r="G319" s="18"/>
      <c r="H319" s="18">
        <f>13564.83+790+173.16+10133.66+15280.53</f>
        <v>39942.18</v>
      </c>
      <c r="I319" s="18">
        <v>938.73</v>
      </c>
      <c r="J319" s="18">
        <f>6319.06+(25212.6*(4/13))+(54933.27*(4/13))+2047.54</f>
        <v>33026.867692307693</v>
      </c>
      <c r="K319" s="18"/>
      <c r="L319" s="19">
        <f t="shared" si="16"/>
        <v>78232.777692307689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f>2000+10000</f>
        <v>12000</v>
      </c>
      <c r="G320" s="18">
        <f>146.3+175.98</f>
        <v>322.27999999999997</v>
      </c>
      <c r="H320" s="18">
        <f>5718.84+3920.84+4217.07+1324.21+42000</f>
        <v>57180.959999999999</v>
      </c>
      <c r="I320" s="18"/>
      <c r="J320" s="18"/>
      <c r="K320" s="18"/>
      <c r="L320" s="19">
        <f t="shared" si="16"/>
        <v>69503.240000000005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106702.32</v>
      </c>
      <c r="G327" s="42">
        <f t="shared" si="17"/>
        <v>1750.62</v>
      </c>
      <c r="H327" s="42">
        <f t="shared" si="17"/>
        <v>182702.33</v>
      </c>
      <c r="I327" s="42">
        <f t="shared" si="17"/>
        <v>35695.599999999999</v>
      </c>
      <c r="J327" s="42">
        <f t="shared" si="17"/>
        <v>33026.867692307693</v>
      </c>
      <c r="K327" s="42">
        <f t="shared" si="17"/>
        <v>0</v>
      </c>
      <c r="L327" s="41">
        <f t="shared" si="17"/>
        <v>359877.73769230768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815569.82000000007</v>
      </c>
      <c r="G337" s="41">
        <f t="shared" si="20"/>
        <v>75562.95</v>
      </c>
      <c r="H337" s="41">
        <f t="shared" si="20"/>
        <v>435766.67</v>
      </c>
      <c r="I337" s="41">
        <f t="shared" si="20"/>
        <v>108879.16</v>
      </c>
      <c r="J337" s="41">
        <f t="shared" si="20"/>
        <v>91803.110000000015</v>
      </c>
      <c r="K337" s="41">
        <f t="shared" si="20"/>
        <v>62518.33</v>
      </c>
      <c r="L337" s="41">
        <f t="shared" si="20"/>
        <v>1590100.04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815569.82000000007</v>
      </c>
      <c r="G351" s="41">
        <f>G337</f>
        <v>75562.95</v>
      </c>
      <c r="H351" s="41">
        <f>H337</f>
        <v>435766.67</v>
      </c>
      <c r="I351" s="41">
        <f>I337</f>
        <v>108879.16</v>
      </c>
      <c r="J351" s="41">
        <f>J337</f>
        <v>91803.110000000015</v>
      </c>
      <c r="K351" s="47">
        <f>K337+K350</f>
        <v>62518.33</v>
      </c>
      <c r="L351" s="41">
        <f>L337+L350</f>
        <v>1590100.04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97337.5</v>
      </c>
      <c r="G357" s="18">
        <v>60346.83</v>
      </c>
      <c r="H357" s="18">
        <v>1569.23</v>
      </c>
      <c r="I357" s="18">
        <v>66918.679999999993</v>
      </c>
      <c r="J357" s="18">
        <v>1068</v>
      </c>
      <c r="K357" s="18">
        <v>1404.42</v>
      </c>
      <c r="L357" s="13">
        <f>SUM(F357:K357)</f>
        <v>228644.66000000003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57964.97</v>
      </c>
      <c r="G358" s="18">
        <v>7342.83</v>
      </c>
      <c r="H358" s="18">
        <v>6719.78</v>
      </c>
      <c r="I358" s="18">
        <v>51121.85</v>
      </c>
      <c r="J358" s="18"/>
      <c r="K358" s="18">
        <v>679.61</v>
      </c>
      <c r="L358" s="19">
        <f>SUM(F358:K358)</f>
        <v>123829.04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106019.69</v>
      </c>
      <c r="G359" s="18">
        <v>35130.080000000002</v>
      </c>
      <c r="H359" s="18">
        <v>7803.89</v>
      </c>
      <c r="I359" s="18">
        <v>131617.91</v>
      </c>
      <c r="J359" s="18">
        <v>202.42</v>
      </c>
      <c r="K359" s="18">
        <v>1018.12</v>
      </c>
      <c r="L359" s="19">
        <f>SUM(F359:K359)</f>
        <v>281792.11000000004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261322.16</v>
      </c>
      <c r="G361" s="47">
        <f t="shared" si="22"/>
        <v>102819.74</v>
      </c>
      <c r="H361" s="47">
        <f t="shared" si="22"/>
        <v>16092.900000000001</v>
      </c>
      <c r="I361" s="47">
        <f t="shared" si="22"/>
        <v>249658.44</v>
      </c>
      <c r="J361" s="47">
        <f t="shared" si="22"/>
        <v>1270.42</v>
      </c>
      <c r="K361" s="47">
        <f t="shared" si="22"/>
        <v>3102.15</v>
      </c>
      <c r="L361" s="47">
        <f t="shared" si="22"/>
        <v>634265.81000000006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I357</f>
        <v>66918.679999999993</v>
      </c>
      <c r="G366" s="18">
        <f>I358</f>
        <v>51121.85</v>
      </c>
      <c r="H366" s="18">
        <f>I359</f>
        <v>131617.91</v>
      </c>
      <c r="I366" s="56">
        <f>SUM(F366:H366)</f>
        <v>249658.44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66918.679999999993</v>
      </c>
      <c r="G368" s="47">
        <f>SUM(G366:G367)</f>
        <v>51121.85</v>
      </c>
      <c r="H368" s="47">
        <f>SUM(H366:H367)</f>
        <v>131617.91</v>
      </c>
      <c r="I368" s="47">
        <f>SUM(I366:I367)</f>
        <v>249658.44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524</v>
      </c>
      <c r="I397" s="18"/>
      <c r="J397" s="24" t="s">
        <v>289</v>
      </c>
      <c r="K397" s="24" t="s">
        <v>289</v>
      </c>
      <c r="L397" s="56">
        <f t="shared" si="26"/>
        <v>524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>
        <v>347093</v>
      </c>
      <c r="J399" s="24" t="s">
        <v>289</v>
      </c>
      <c r="K399" s="24" t="s">
        <v>289</v>
      </c>
      <c r="L399" s="56">
        <f t="shared" si="26"/>
        <v>347093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524</v>
      </c>
      <c r="I400" s="47">
        <f>SUM(I394:I399)</f>
        <v>347093</v>
      </c>
      <c r="J400" s="45" t="s">
        <v>289</v>
      </c>
      <c r="K400" s="45" t="s">
        <v>289</v>
      </c>
      <c r="L400" s="47">
        <f>SUM(L394:L399)</f>
        <v>347617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524</v>
      </c>
      <c r="I407" s="47">
        <f>I392+I400+I406</f>
        <v>347093</v>
      </c>
      <c r="J407" s="24" t="s">
        <v>289</v>
      </c>
      <c r="K407" s="24" t="s">
        <v>289</v>
      </c>
      <c r="L407" s="47">
        <f>L392+L400+L406</f>
        <v>347617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>
        <v>2000</v>
      </c>
      <c r="I423" s="18"/>
      <c r="J423" s="18"/>
      <c r="K423" s="18"/>
      <c r="L423" s="56">
        <f t="shared" si="29"/>
        <v>2000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350345</v>
      </c>
      <c r="I425" s="18"/>
      <c r="J425" s="18"/>
      <c r="K425" s="18"/>
      <c r="L425" s="56">
        <f t="shared" si="29"/>
        <v>350345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352345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352345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352345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352345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135820</v>
      </c>
      <c r="H438" s="18"/>
      <c r="I438" s="56">
        <f t="shared" ref="I438:I444" si="33">SUM(F438:H438)</f>
        <v>135820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118016</v>
      </c>
      <c r="H439" s="18"/>
      <c r="I439" s="56">
        <f t="shared" si="33"/>
        <v>118016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253836</v>
      </c>
      <c r="H445" s="13">
        <f>SUM(H438:H444)</f>
        <v>0</v>
      </c>
      <c r="I445" s="13">
        <f>SUM(I438:I444)</f>
        <v>253836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v>118016</v>
      </c>
      <c r="H456" s="18"/>
      <c r="I456" s="56">
        <f t="shared" si="34"/>
        <v>118016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135820</v>
      </c>
      <c r="H458" s="18"/>
      <c r="I458" s="56">
        <f t="shared" si="34"/>
        <v>135820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253836</v>
      </c>
      <c r="H459" s="83">
        <f>SUM(H453:H458)</f>
        <v>0</v>
      </c>
      <c r="I459" s="83">
        <f>SUM(I453:I458)</f>
        <v>253836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253836</v>
      </c>
      <c r="H460" s="42">
        <f>H451+H459</f>
        <v>0</v>
      </c>
      <c r="I460" s="42">
        <f>I451+I459</f>
        <v>253836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702081.24</v>
      </c>
      <c r="G464" s="18">
        <v>125582.9</v>
      </c>
      <c r="H464" s="18">
        <v>20124.669999999998</v>
      </c>
      <c r="I464" s="18"/>
      <c r="J464" s="18">
        <f>119492+139072</f>
        <v>258564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21798435.469999999</v>
      </c>
      <c r="G467" s="18">
        <f>573319.34+20000</f>
        <v>593319.34</v>
      </c>
      <c r="H467" s="18">
        <v>1570974.42</v>
      </c>
      <c r="I467" s="18"/>
      <c r="J467" s="18">
        <f>524+347093</f>
        <v>347617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21798435.469999999</v>
      </c>
      <c r="G469" s="53">
        <f>SUM(G467:G468)</f>
        <v>593319.34</v>
      </c>
      <c r="H469" s="53">
        <f>SUM(H467:H468)</f>
        <v>1570974.42</v>
      </c>
      <c r="I469" s="53">
        <f>SUM(I467:I468)</f>
        <v>0</v>
      </c>
      <c r="J469" s="53">
        <f>SUM(J467:J468)</f>
        <v>347617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21742397.82</v>
      </c>
      <c r="G471" s="18">
        <v>634265.81000000006</v>
      </c>
      <c r="H471" s="18">
        <v>1590100.04</v>
      </c>
      <c r="I471" s="18"/>
      <c r="J471" s="18">
        <f>2000+350345</f>
        <v>352345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21742397.82</v>
      </c>
      <c r="G473" s="53">
        <f>SUM(G471:G472)</f>
        <v>634265.81000000006</v>
      </c>
      <c r="H473" s="53">
        <f>SUM(H471:H472)</f>
        <v>1590100.04</v>
      </c>
      <c r="I473" s="53">
        <f>SUM(I471:I472)</f>
        <v>0</v>
      </c>
      <c r="J473" s="53">
        <f>SUM(J471:J472)</f>
        <v>352345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758118.88999999687</v>
      </c>
      <c r="G475" s="53">
        <f>(G464+G469)- G473</f>
        <v>84636.429999999935</v>
      </c>
      <c r="H475" s="53">
        <f>(H464+H469)- H473</f>
        <v>999.04999999981374</v>
      </c>
      <c r="I475" s="53">
        <f>(I464+I469)- I473</f>
        <v>0</v>
      </c>
      <c r="J475" s="53">
        <f>(J464+J469)- J473</f>
        <v>253836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2657078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5.54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2657078</v>
      </c>
      <c r="G494" s="18"/>
      <c r="H494" s="18"/>
      <c r="I494" s="18"/>
      <c r="J494" s="18"/>
      <c r="K494" s="53">
        <f>SUM(F494:J494)</f>
        <v>2657078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2479939.46</v>
      </c>
      <c r="G497" s="205"/>
      <c r="H497" s="205"/>
      <c r="I497" s="205"/>
      <c r="J497" s="205"/>
      <c r="K497" s="206">
        <f t="shared" si="35"/>
        <v>2479939.46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1214417.46-147202.12-71147.69</f>
        <v>996067.64999999991</v>
      </c>
      <c r="G498" s="18"/>
      <c r="H498" s="18"/>
      <c r="I498" s="18"/>
      <c r="J498" s="18"/>
      <c r="K498" s="53">
        <f t="shared" si="35"/>
        <v>996067.64999999991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3476007.11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3476007.11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f>88569.27*2</f>
        <v>177138.54</v>
      </c>
      <c r="G500" s="205"/>
      <c r="H500" s="205"/>
      <c r="I500" s="205"/>
      <c r="J500" s="205"/>
      <c r="K500" s="206">
        <f t="shared" si="35"/>
        <v>177138.54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68694.32+66240.95</f>
        <v>134935.27000000002</v>
      </c>
      <c r="G501" s="18"/>
      <c r="H501" s="18"/>
      <c r="I501" s="18"/>
      <c r="J501" s="18"/>
      <c r="K501" s="53">
        <f t="shared" si="35"/>
        <v>134935.27000000002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312073.81000000006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312073.81000000006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32730</v>
      </c>
      <c r="G506" s="144"/>
      <c r="H506" s="144">
        <v>21662</v>
      </c>
      <c r="I506" s="144">
        <v>11068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888199.25</v>
      </c>
      <c r="G520" s="18">
        <v>646622.88</v>
      </c>
      <c r="H520" s="18">
        <v>285735.05</v>
      </c>
      <c r="I520" s="18">
        <v>5740.89</v>
      </c>
      <c r="J520" s="18">
        <v>1888.95</v>
      </c>
      <c r="K520" s="18"/>
      <c r="L520" s="88">
        <f>SUM(F520:K520)</f>
        <v>1828187.0199999998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445256.42</v>
      </c>
      <c r="G521" s="18">
        <v>418438.94</v>
      </c>
      <c r="H521" s="18">
        <v>113327.27</v>
      </c>
      <c r="I521" s="18">
        <v>2158.1</v>
      </c>
      <c r="J521" s="18">
        <v>0</v>
      </c>
      <c r="K521" s="18"/>
      <c r="L521" s="88">
        <f>SUM(F521:K521)</f>
        <v>979180.73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569692.52</v>
      </c>
      <c r="G522" s="18">
        <v>401728.25</v>
      </c>
      <c r="H522" s="18">
        <v>583901.04</v>
      </c>
      <c r="I522" s="18">
        <v>4779.88</v>
      </c>
      <c r="J522" s="18">
        <v>0</v>
      </c>
      <c r="K522" s="18"/>
      <c r="L522" s="88">
        <f>SUM(F522:K522)</f>
        <v>1560101.69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1903148.19</v>
      </c>
      <c r="G523" s="108">
        <f t="shared" ref="G523:L523" si="36">SUM(G520:G522)</f>
        <v>1466790.07</v>
      </c>
      <c r="H523" s="108">
        <f t="shared" si="36"/>
        <v>982963.3600000001</v>
      </c>
      <c r="I523" s="108">
        <f t="shared" si="36"/>
        <v>12678.869999999999</v>
      </c>
      <c r="J523" s="108">
        <f t="shared" si="36"/>
        <v>1888.95</v>
      </c>
      <c r="K523" s="108">
        <f t="shared" si="36"/>
        <v>0</v>
      </c>
      <c r="L523" s="89">
        <f t="shared" si="36"/>
        <v>4367469.4399999995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129020.14</v>
      </c>
      <c r="G525" s="18">
        <v>56340.07</v>
      </c>
      <c r="H525" s="18">
        <f>187651.69+10057.07</f>
        <v>197708.76</v>
      </c>
      <c r="I525" s="18">
        <v>2875.14</v>
      </c>
      <c r="J525" s="18">
        <v>48.74</v>
      </c>
      <c r="K525" s="18"/>
      <c r="L525" s="88">
        <f>SUM(F525:K525)</f>
        <v>385992.85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98801.86</v>
      </c>
      <c r="G526" s="18">
        <v>39645.410000000003</v>
      </c>
      <c r="H526" s="18">
        <f>31962.87+10057.06</f>
        <v>42019.93</v>
      </c>
      <c r="I526" s="18">
        <v>636.88</v>
      </c>
      <c r="J526" s="18">
        <v>0</v>
      </c>
      <c r="K526" s="18">
        <v>80</v>
      </c>
      <c r="L526" s="88">
        <f>SUM(F526:K526)</f>
        <v>181184.08000000002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50360.74</v>
      </c>
      <c r="G527" s="18">
        <v>22457.85</v>
      </c>
      <c r="H527" s="18">
        <f>79366.03+10057.07</f>
        <v>89423.1</v>
      </c>
      <c r="I527" s="18">
        <v>705.04</v>
      </c>
      <c r="J527" s="18">
        <v>0</v>
      </c>
      <c r="K527" s="18"/>
      <c r="L527" s="88">
        <f>SUM(F527:K527)</f>
        <v>162946.73000000001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278182.74</v>
      </c>
      <c r="G528" s="89">
        <f t="shared" ref="G528:L528" si="37">SUM(G525:G527)</f>
        <v>118443.33000000002</v>
      </c>
      <c r="H528" s="89">
        <f t="shared" si="37"/>
        <v>329151.79000000004</v>
      </c>
      <c r="I528" s="89">
        <f t="shared" si="37"/>
        <v>4217.0599999999995</v>
      </c>
      <c r="J528" s="89">
        <f t="shared" si="37"/>
        <v>48.74</v>
      </c>
      <c r="K528" s="89">
        <f t="shared" si="37"/>
        <v>80</v>
      </c>
      <c r="L528" s="89">
        <f t="shared" si="37"/>
        <v>730123.65999999992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111559*(6/13)</f>
        <v>51488.769230769234</v>
      </c>
      <c r="G530" s="18">
        <f>F530*1.2+(44956*(6/13))</f>
        <v>82535.446153846162</v>
      </c>
      <c r="H530" s="18"/>
      <c r="I530" s="18"/>
      <c r="J530" s="18"/>
      <c r="K530" s="18"/>
      <c r="L530" s="88">
        <f>SUM(F530:K530)</f>
        <v>134024.21538461541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111559*(3/13)</f>
        <v>25744.384615384617</v>
      </c>
      <c r="G531" s="18">
        <f>F531*1.2+(44956*(3/13))</f>
        <v>41267.723076923081</v>
      </c>
      <c r="H531" s="18"/>
      <c r="I531" s="18"/>
      <c r="J531" s="18"/>
      <c r="K531" s="18"/>
      <c r="L531" s="88">
        <f>SUM(F531:K531)</f>
        <v>67012.107692307705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111559*(4/13)</f>
        <v>34325.846153846156</v>
      </c>
      <c r="G532" s="18">
        <f>F532*1.2+(44956*(4/13))</f>
        <v>55023.630769230767</v>
      </c>
      <c r="H532" s="18"/>
      <c r="I532" s="18"/>
      <c r="J532" s="18"/>
      <c r="K532" s="18"/>
      <c r="L532" s="88">
        <f>SUM(F532:K532)</f>
        <v>89349.476923076931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111559</v>
      </c>
      <c r="G533" s="89">
        <f t="shared" ref="G533:L533" si="38">SUM(G530:G532)</f>
        <v>178826.80000000002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290385.80000000005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171836.34</v>
      </c>
      <c r="I540" s="18"/>
      <c r="J540" s="18"/>
      <c r="K540" s="18"/>
      <c r="L540" s="88">
        <f>SUM(F540:K540)</f>
        <v>171836.34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57100.09</v>
      </c>
      <c r="I541" s="18"/>
      <c r="J541" s="18"/>
      <c r="K541" s="18"/>
      <c r="L541" s="88">
        <f>SUM(F541:K541)</f>
        <v>57100.09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120206.73</v>
      </c>
      <c r="I542" s="18"/>
      <c r="J542" s="18"/>
      <c r="K542" s="18"/>
      <c r="L542" s="88">
        <f>SUM(F542:K542)</f>
        <v>120206.73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349143.16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349143.16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2292889.9299999997</v>
      </c>
      <c r="G544" s="89">
        <f t="shared" ref="G544:L544" si="41">G523+G528+G533+G538+G543</f>
        <v>1764060.2000000002</v>
      </c>
      <c r="H544" s="89">
        <f t="shared" si="41"/>
        <v>1661258.31</v>
      </c>
      <c r="I544" s="89">
        <f t="shared" si="41"/>
        <v>16895.93</v>
      </c>
      <c r="J544" s="89">
        <f t="shared" si="41"/>
        <v>1937.69</v>
      </c>
      <c r="K544" s="89">
        <f t="shared" si="41"/>
        <v>80</v>
      </c>
      <c r="L544" s="89">
        <f t="shared" si="41"/>
        <v>5737122.0599999996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1828187.0199999998</v>
      </c>
      <c r="G548" s="87">
        <f>L525</f>
        <v>385992.85</v>
      </c>
      <c r="H548" s="87">
        <f>L530</f>
        <v>134024.21538461541</v>
      </c>
      <c r="I548" s="87">
        <f>L535</f>
        <v>0</v>
      </c>
      <c r="J548" s="87">
        <f>L540</f>
        <v>171836.34</v>
      </c>
      <c r="K548" s="87">
        <f>SUM(F548:J548)</f>
        <v>2520040.4253846151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979180.73</v>
      </c>
      <c r="G549" s="87">
        <f>L526</f>
        <v>181184.08000000002</v>
      </c>
      <c r="H549" s="87">
        <f>L531</f>
        <v>67012.107692307705</v>
      </c>
      <c r="I549" s="87">
        <f>L536</f>
        <v>0</v>
      </c>
      <c r="J549" s="87">
        <f>L541</f>
        <v>57100.09</v>
      </c>
      <c r="K549" s="87">
        <f>SUM(F549:J549)</f>
        <v>1284477.0076923079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1560101.69</v>
      </c>
      <c r="G550" s="87">
        <f>L527</f>
        <v>162946.73000000001</v>
      </c>
      <c r="H550" s="87">
        <f>L532</f>
        <v>89349.476923076931</v>
      </c>
      <c r="I550" s="87">
        <f>L537</f>
        <v>0</v>
      </c>
      <c r="J550" s="87">
        <f>L542</f>
        <v>120206.73</v>
      </c>
      <c r="K550" s="87">
        <f>SUM(F550:J550)</f>
        <v>1932604.6269230768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4367469.4399999995</v>
      </c>
      <c r="G551" s="89">
        <f t="shared" si="42"/>
        <v>730123.65999999992</v>
      </c>
      <c r="H551" s="89">
        <f t="shared" si="42"/>
        <v>290385.80000000005</v>
      </c>
      <c r="I551" s="89">
        <f t="shared" si="42"/>
        <v>0</v>
      </c>
      <c r="J551" s="89">
        <f t="shared" si="42"/>
        <v>349143.16</v>
      </c>
      <c r="K551" s="89">
        <f t="shared" si="42"/>
        <v>5737122.0599999996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>
        <v>12000</v>
      </c>
      <c r="H577" s="18">
        <v>3848.96</v>
      </c>
      <c r="I577" s="87">
        <f t="shared" si="47"/>
        <v>15848.96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100425.97+46092.96+129348.46</f>
        <v>275867.39</v>
      </c>
      <c r="G581" s="18">
        <v>98571.93</v>
      </c>
      <c r="H581" s="18">
        <v>580052.07999999996</v>
      </c>
      <c r="I581" s="87">
        <f t="shared" si="47"/>
        <v>954491.39999999991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32008.75</v>
      </c>
      <c r="I583" s="87">
        <f t="shared" si="47"/>
        <v>32008.75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383804.69</v>
      </c>
      <c r="I590" s="18">
        <f>176522.06</f>
        <v>176522.06</v>
      </c>
      <c r="J590" s="18">
        <f>261219.62+915.98</f>
        <v>262135.6</v>
      </c>
      <c r="K590" s="104">
        <f t="shared" ref="K590:K596" si="48">SUM(H590:J590)</f>
        <v>822462.35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81821.5+7800.59+52721.28+29492.97</f>
        <v>171836.34</v>
      </c>
      <c r="I591" s="18">
        <v>57100.09</v>
      </c>
      <c r="J591" s="18">
        <v>120206.73</v>
      </c>
      <c r="K591" s="104">
        <f t="shared" si="48"/>
        <v>349143.16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37140.910000000003</v>
      </c>
      <c r="K592" s="104">
        <f t="shared" si="48"/>
        <v>37140.910000000003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11586.79</v>
      </c>
      <c r="J593" s="18">
        <v>23538.83</v>
      </c>
      <c r="K593" s="104">
        <f t="shared" si="48"/>
        <v>35125.620000000003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3519.79+2310.05+4686.91+7491.42+303.85</f>
        <v>18312.019999999997</v>
      </c>
      <c r="I594" s="18">
        <f>3007.52+2657.69</f>
        <v>5665.21</v>
      </c>
      <c r="J594" s="18">
        <f>6648.2+2589.52</f>
        <v>9237.7199999999993</v>
      </c>
      <c r="K594" s="104">
        <f t="shared" si="48"/>
        <v>33214.949999999997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74394.3</v>
      </c>
      <c r="I595" s="18">
        <v>35925.25</v>
      </c>
      <c r="J595" s="18">
        <v>52977.03</v>
      </c>
      <c r="K595" s="104">
        <f t="shared" si="48"/>
        <v>163296.58000000002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648347.35000000009</v>
      </c>
      <c r="I597" s="108">
        <f>SUM(I590:I596)</f>
        <v>286799.40000000002</v>
      </c>
      <c r="J597" s="108">
        <f>SUM(J590:J596)</f>
        <v>505236.81999999995</v>
      </c>
      <c r="K597" s="108">
        <f>SUM(K590:K596)</f>
        <v>1440383.57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34890.2+83436.51</f>
        <v>118326.70999999999</v>
      </c>
      <c r="I603" s="18">
        <f>49164.82+6319.06</f>
        <v>55483.88</v>
      </c>
      <c r="J603" s="18">
        <f>82423.08+2047.54</f>
        <v>84470.62</v>
      </c>
      <c r="K603" s="104">
        <f>SUM(H603:J603)</f>
        <v>258281.21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118326.70999999999</v>
      </c>
      <c r="I604" s="108">
        <f>SUM(I601:I603)</f>
        <v>55483.88</v>
      </c>
      <c r="J604" s="108">
        <f>SUM(J601:J603)</f>
        <v>84470.62</v>
      </c>
      <c r="K604" s="108">
        <f>SUM(K601:K603)</f>
        <v>258281.21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36144.36+7630.5+6960.25+999+1130.54</f>
        <v>52864.65</v>
      </c>
      <c r="G610" s="18">
        <f>6053.8+583.73+532.5+76.43+32.47+135.34+58.61+600.99+631.93</f>
        <v>8705.8000000000011</v>
      </c>
      <c r="H610" s="18">
        <v>0</v>
      </c>
      <c r="I610" s="18">
        <v>276.69</v>
      </c>
      <c r="J610" s="18"/>
      <c r="K610" s="18">
        <f>650+475</f>
        <v>1125</v>
      </c>
      <c r="L610" s="88">
        <f>SUM(F610:K610)</f>
        <v>62972.140000000007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10845.5</v>
      </c>
      <c r="G611" s="18">
        <f>829.7+1252.99</f>
        <v>2082.69</v>
      </c>
      <c r="H611" s="18"/>
      <c r="I611" s="18">
        <f>531+281.36</f>
        <v>812.36</v>
      </c>
      <c r="J611" s="18"/>
      <c r="K611" s="18">
        <v>650</v>
      </c>
      <c r="L611" s="88">
        <f>SUM(F611:K611)</f>
        <v>14390.550000000001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860.41</v>
      </c>
      <c r="G612" s="18">
        <f>65.83+72.74</f>
        <v>138.57</v>
      </c>
      <c r="H612" s="18"/>
      <c r="I612" s="18"/>
      <c r="J612" s="18"/>
      <c r="K612" s="18">
        <v>180.03</v>
      </c>
      <c r="L612" s="88">
        <f>SUM(F612:K612)</f>
        <v>1179.01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64570.560000000005</v>
      </c>
      <c r="G613" s="108">
        <f t="shared" si="49"/>
        <v>10927.060000000001</v>
      </c>
      <c r="H613" s="108">
        <f t="shared" si="49"/>
        <v>0</v>
      </c>
      <c r="I613" s="108">
        <f t="shared" si="49"/>
        <v>1089.05</v>
      </c>
      <c r="J613" s="108">
        <f t="shared" si="49"/>
        <v>0</v>
      </c>
      <c r="K613" s="108">
        <f t="shared" si="49"/>
        <v>1955.03</v>
      </c>
      <c r="L613" s="89">
        <f t="shared" si="49"/>
        <v>78541.7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1019777.86</v>
      </c>
      <c r="H616" s="109">
        <f>SUM(F51)</f>
        <v>1019777.86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98763.699999999983</v>
      </c>
      <c r="H617" s="109">
        <f>SUM(G51)</f>
        <v>98763.7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170604.03</v>
      </c>
      <c r="H618" s="109">
        <f>SUM(H51)</f>
        <v>170604.03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253836</v>
      </c>
      <c r="H620" s="109">
        <f>SUM(J51)</f>
        <v>253836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758118.89</v>
      </c>
      <c r="H621" s="109">
        <f>F475</f>
        <v>758118.88999999687</v>
      </c>
      <c r="I621" s="121" t="s">
        <v>101</v>
      </c>
      <c r="J621" s="109">
        <f t="shared" ref="J621:J654" si="50">G621-H621</f>
        <v>3.14321368932724E-9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84636.43</v>
      </c>
      <c r="H622" s="109">
        <f>G475</f>
        <v>84636.429999999935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999.05</v>
      </c>
      <c r="H623" s="109">
        <f>H475</f>
        <v>999.04999999981374</v>
      </c>
      <c r="I623" s="121" t="s">
        <v>103</v>
      </c>
      <c r="J623" s="109">
        <f t="shared" si="50"/>
        <v>1.8621904018800706E-10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253836</v>
      </c>
      <c r="H625" s="109">
        <f>J475</f>
        <v>253836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21798435.469999999</v>
      </c>
      <c r="H626" s="104">
        <f>SUM(F467)</f>
        <v>21798435.469999999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593319.34</v>
      </c>
      <c r="H627" s="104">
        <f>SUM(G467)</f>
        <v>593319.34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1570974.42</v>
      </c>
      <c r="H628" s="104">
        <f>SUM(H467)</f>
        <v>1570974.42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347617</v>
      </c>
      <c r="H630" s="104">
        <f>SUM(J467)</f>
        <v>347617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21742397.82</v>
      </c>
      <c r="H631" s="104">
        <f>SUM(F471)</f>
        <v>21742397.82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1590100.04</v>
      </c>
      <c r="H632" s="104">
        <f>SUM(H471)</f>
        <v>1590100.04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249658.44</v>
      </c>
      <c r="H633" s="104">
        <f>I368</f>
        <v>249658.44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634265.81000000006</v>
      </c>
      <c r="H634" s="104">
        <f>SUM(G471)</f>
        <v>634265.81000000006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347617</v>
      </c>
      <c r="H636" s="164">
        <f>SUM(J467)</f>
        <v>347617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352345</v>
      </c>
      <c r="H637" s="164">
        <f>SUM(J471)</f>
        <v>352345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253836</v>
      </c>
      <c r="H639" s="104">
        <f>SUM(G460)</f>
        <v>253836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253836</v>
      </c>
      <c r="H641" s="104">
        <f>SUM(I460)</f>
        <v>253836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524</v>
      </c>
      <c r="H643" s="104">
        <f>H407</f>
        <v>524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347617</v>
      </c>
      <c r="H645" s="104">
        <f>L407</f>
        <v>347617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1440383.57</v>
      </c>
      <c r="H646" s="104">
        <f>L207+L225+L243</f>
        <v>1440383.57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258281.21</v>
      </c>
      <c r="H647" s="104">
        <f>(J256+J337)-(J254+J335)</f>
        <v>258281.21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648347.35000000009</v>
      </c>
      <c r="H648" s="104">
        <f>H597</f>
        <v>648347.35000000009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286799.40000000002</v>
      </c>
      <c r="H649" s="104">
        <f>I597</f>
        <v>286799.40000000002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505236.81999999995</v>
      </c>
      <c r="H650" s="104">
        <f>J597</f>
        <v>505236.81999999995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20000</v>
      </c>
      <c r="H651" s="104">
        <f>K262+K344</f>
        <v>20000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10264205.403846154</v>
      </c>
      <c r="G659" s="19">
        <f>(L228+L308+L358)</f>
        <v>5209443.2069230778</v>
      </c>
      <c r="H659" s="19">
        <f>(L246+L327+L359)</f>
        <v>8073609.3592307689</v>
      </c>
      <c r="I659" s="19">
        <f>SUM(F659:H659)</f>
        <v>23547257.969999999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96747.41274737101</v>
      </c>
      <c r="G660" s="19">
        <f>(L358/IF(SUM(L357:L359)=0,1,SUM(L357:L359))*(SUM(G96:G109)))</f>
        <v>52396.322061449901</v>
      </c>
      <c r="H660" s="19">
        <f>(L359/IF(SUM(L357:L359)=0,1,SUM(L357:L359))*(SUM(G96:G109)))</f>
        <v>119235.92519117906</v>
      </c>
      <c r="I660" s="19">
        <f>SUM(F660:H660)</f>
        <v>268379.65999999997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654002.94000000006</v>
      </c>
      <c r="G661" s="19">
        <f>(L225+L305)-(J225+J305)</f>
        <v>286799.40000000002</v>
      </c>
      <c r="H661" s="19">
        <f>(L243+L324)-(J243+J324)</f>
        <v>505236.81999999995</v>
      </c>
      <c r="I661" s="19">
        <f>SUM(F661:H661)</f>
        <v>1446039.1600000001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457166.24</v>
      </c>
      <c r="G662" s="200">
        <f>SUM(G574:G586)+SUM(I601:I603)+L611</f>
        <v>180446.36</v>
      </c>
      <c r="H662" s="200">
        <f>SUM(H574:H586)+SUM(J601:J603)+L612</f>
        <v>701559.41999999993</v>
      </c>
      <c r="I662" s="19">
        <f>SUM(F662:H662)</f>
        <v>1339172.02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9056288.8110987823</v>
      </c>
      <c r="G663" s="19">
        <f>G659-SUM(G660:G662)</f>
        <v>4689801.1248616278</v>
      </c>
      <c r="H663" s="19">
        <f>H659-SUM(H660:H662)</f>
        <v>6747577.1940395897</v>
      </c>
      <c r="I663" s="19">
        <f>I659-SUM(I660:I662)</f>
        <v>20493667.129999999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545.66999999999996</v>
      </c>
      <c r="G664" s="249">
        <v>283.2</v>
      </c>
      <c r="H664" s="249">
        <v>399.55</v>
      </c>
      <c r="I664" s="19">
        <f>SUM(F664:H664)</f>
        <v>1228.4199999999998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16596.64</v>
      </c>
      <c r="G666" s="19">
        <f>ROUND(G663/G664,2)</f>
        <v>16560.03</v>
      </c>
      <c r="H666" s="19">
        <f>ROUND(H663/H664,2)</f>
        <v>16887.939999999999</v>
      </c>
      <c r="I666" s="19">
        <f>ROUND(I663/I664,2)</f>
        <v>16682.95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-8.1300000000000008</v>
      </c>
      <c r="I669" s="19">
        <f>SUM(F669:H669)</f>
        <v>-8.1300000000000008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16596.64</v>
      </c>
      <c r="G671" s="19">
        <f>ROUND((G663+G668)/(G664+G669),2)</f>
        <v>16560.03</v>
      </c>
      <c r="H671" s="19">
        <f>ROUND((H663+H668)/(H664+H669),2)</f>
        <v>17238.71</v>
      </c>
      <c r="I671" s="19">
        <f>ROUND((I663+I668)/(I664+I669),2)</f>
        <v>16794.099999999999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Newfound Area School District - SAU #4</v>
      </c>
      <c r="C1" s="239" t="s">
        <v>839</v>
      </c>
    </row>
    <row r="2" spans="1:3" x14ac:dyDescent="0.2">
      <c r="A2" s="234"/>
      <c r="B2" s="233"/>
    </row>
    <row r="3" spans="1:3" x14ac:dyDescent="0.2">
      <c r="A3" s="275" t="s">
        <v>784</v>
      </c>
      <c r="B3" s="275"/>
      <c r="C3" s="275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783</v>
      </c>
      <c r="C6" s="274"/>
    </row>
    <row r="7" spans="1:3" x14ac:dyDescent="0.2">
      <c r="A7" s="240" t="s">
        <v>786</v>
      </c>
      <c r="B7" s="272" t="s">
        <v>782</v>
      </c>
      <c r="C7" s="273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6035806.5699999994</v>
      </c>
      <c r="C9" s="230">
        <f>'DOE25'!G196+'DOE25'!G214+'DOE25'!G232+'DOE25'!G275+'DOE25'!G294+'DOE25'!G313</f>
        <v>2844272.68</v>
      </c>
    </row>
    <row r="10" spans="1:3" x14ac:dyDescent="0.2">
      <c r="A10" t="s">
        <v>779</v>
      </c>
      <c r="B10" s="241">
        <v>5439305.1500000004</v>
      </c>
      <c r="C10" s="241">
        <v>2635959.5299999998</v>
      </c>
    </row>
    <row r="11" spans="1:3" x14ac:dyDescent="0.2">
      <c r="A11" t="s">
        <v>780</v>
      </c>
      <c r="B11" s="241">
        <v>466990.24</v>
      </c>
      <c r="C11" s="241">
        <v>198405.55</v>
      </c>
    </row>
    <row r="12" spans="1:3" x14ac:dyDescent="0.2">
      <c r="A12" t="s">
        <v>781</v>
      </c>
      <c r="B12" s="241">
        <v>129511.18</v>
      </c>
      <c r="C12" s="241">
        <v>9907.6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6035806.5700000003</v>
      </c>
      <c r="C13" s="232">
        <f>SUM(C10:C12)</f>
        <v>2844272.6799999997</v>
      </c>
    </row>
    <row r="14" spans="1:3" x14ac:dyDescent="0.2">
      <c r="B14" s="231"/>
      <c r="C14" s="231"/>
    </row>
    <row r="15" spans="1:3" x14ac:dyDescent="0.2">
      <c r="B15" s="274" t="s">
        <v>783</v>
      </c>
      <c r="C15" s="274"/>
    </row>
    <row r="16" spans="1:3" x14ac:dyDescent="0.2">
      <c r="A16" s="240" t="s">
        <v>787</v>
      </c>
      <c r="B16" s="272" t="s">
        <v>707</v>
      </c>
      <c r="C16" s="273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2021488.08</v>
      </c>
      <c r="C18" s="230">
        <f>'DOE25'!G197+'DOE25'!G215+'DOE25'!G233+'DOE25'!G276+'DOE25'!G295+'DOE25'!G314</f>
        <v>1466790.07</v>
      </c>
    </row>
    <row r="19" spans="1:3" x14ac:dyDescent="0.2">
      <c r="A19" t="s">
        <v>779</v>
      </c>
      <c r="B19" s="241">
        <f>684792.75</f>
        <v>684792.75</v>
      </c>
      <c r="C19" s="241">
        <f>1532392.16-C20-65602.09</f>
        <v>455411.24</v>
      </c>
    </row>
    <row r="20" spans="1:3" x14ac:dyDescent="0.2">
      <c r="A20" t="s">
        <v>780</v>
      </c>
      <c r="B20" s="241">
        <v>1273069.19</v>
      </c>
      <c r="C20" s="241">
        <v>1011378.83</v>
      </c>
    </row>
    <row r="21" spans="1:3" x14ac:dyDescent="0.2">
      <c r="A21" t="s">
        <v>781</v>
      </c>
      <c r="B21" s="241">
        <v>63626.14</v>
      </c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2021488.0799999998</v>
      </c>
      <c r="C22" s="232">
        <f>SUM(C19:C21)</f>
        <v>1466790.0699999998</v>
      </c>
    </row>
    <row r="23" spans="1:3" x14ac:dyDescent="0.2">
      <c r="B23" s="231"/>
      <c r="C23" s="231"/>
    </row>
    <row r="24" spans="1:3" x14ac:dyDescent="0.2">
      <c r="B24" s="274" t="s">
        <v>783</v>
      </c>
      <c r="C24" s="274"/>
    </row>
    <row r="25" spans="1:3" x14ac:dyDescent="0.2">
      <c r="A25" s="240" t="s">
        <v>788</v>
      </c>
      <c r="B25" s="272" t="s">
        <v>708</v>
      </c>
      <c r="C25" s="273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40" t="s">
        <v>789</v>
      </c>
      <c r="B34" s="272" t="s">
        <v>709</v>
      </c>
      <c r="C34" s="273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446485.3</v>
      </c>
      <c r="C36" s="236">
        <f>'DOE25'!G199+'DOE25'!G217+'DOE25'!G235+'DOE25'!G278+'DOE25'!G297+'DOE25'!G316</f>
        <v>47400.209999999992</v>
      </c>
    </row>
    <row r="37" spans="1:3" x14ac:dyDescent="0.2">
      <c r="A37" t="s">
        <v>779</v>
      </c>
      <c r="B37" s="2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f>221859.98+224625.32</f>
        <v>446485.30000000005</v>
      </c>
      <c r="C39" s="241">
        <f>9307.32+46397.34-8304.45</f>
        <v>47400.209999999992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SUM(B38:B39)</f>
        <v>446485.30000000005</v>
      </c>
      <c r="C40" s="232">
        <f>SUM(C37:C39)</f>
        <v>47400.209999999992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44" sqref="E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6" t="str">
        <f>'DOE25'!A2</f>
        <v>Newfound Area School District - SAU #4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13444511.869999999</v>
      </c>
      <c r="D5" s="20">
        <f>SUM('DOE25'!L196:L199)+SUM('DOE25'!L214:L217)+SUM('DOE25'!L232:L235)-F5-G5</f>
        <v>13354350.67</v>
      </c>
      <c r="E5" s="244"/>
      <c r="F5" s="256">
        <f>SUM('DOE25'!J196:J199)+SUM('DOE25'!J214:J217)+SUM('DOE25'!J232:J235)</f>
        <v>25415.439999999999</v>
      </c>
      <c r="G5" s="53">
        <f>SUM('DOE25'!K196:K199)+SUM('DOE25'!K214:K217)+SUM('DOE25'!K232:K235)</f>
        <v>64745.760000000002</v>
      </c>
      <c r="H5" s="260"/>
    </row>
    <row r="6" spans="1:9" x14ac:dyDescent="0.2">
      <c r="A6" s="32">
        <v>2100</v>
      </c>
      <c r="B6" t="s">
        <v>801</v>
      </c>
      <c r="C6" s="246">
        <f t="shared" si="0"/>
        <v>1947374.43</v>
      </c>
      <c r="D6" s="20">
        <f>'DOE25'!L201+'DOE25'!L219+'DOE25'!L237-F6-G6</f>
        <v>1946512.98</v>
      </c>
      <c r="E6" s="244"/>
      <c r="F6" s="256">
        <f>'DOE25'!J201+'DOE25'!J219+'DOE25'!J237</f>
        <v>609.45000000000005</v>
      </c>
      <c r="G6" s="53">
        <f>'DOE25'!K201+'DOE25'!K219+'DOE25'!K237</f>
        <v>252</v>
      </c>
      <c r="H6" s="260"/>
    </row>
    <row r="7" spans="1:9" x14ac:dyDescent="0.2">
      <c r="A7" s="32">
        <v>2200</v>
      </c>
      <c r="B7" t="s">
        <v>834</v>
      </c>
      <c r="C7" s="246">
        <f t="shared" si="0"/>
        <v>836242.91999999993</v>
      </c>
      <c r="D7" s="20">
        <f>'DOE25'!L202+'DOE25'!L220+'DOE25'!L238-F7-G7</f>
        <v>544725.48</v>
      </c>
      <c r="E7" s="244"/>
      <c r="F7" s="256">
        <f>'DOE25'!J202+'DOE25'!J220+'DOE25'!J238</f>
        <v>134527.88</v>
      </c>
      <c r="G7" s="53">
        <f>'DOE25'!K202+'DOE25'!K220+'DOE25'!K238</f>
        <v>156989.56</v>
      </c>
      <c r="H7" s="260"/>
    </row>
    <row r="8" spans="1:9" x14ac:dyDescent="0.2">
      <c r="A8" s="32">
        <v>2300</v>
      </c>
      <c r="B8" t="s">
        <v>802</v>
      </c>
      <c r="C8" s="246">
        <f t="shared" si="0"/>
        <v>806784.32000000007</v>
      </c>
      <c r="D8" s="244"/>
      <c r="E8" s="20">
        <f>'DOE25'!L203+'DOE25'!L221+'DOE25'!L239-F8-G8-D9-D11</f>
        <v>785883.04</v>
      </c>
      <c r="F8" s="256">
        <f>'DOE25'!J203+'DOE25'!J221+'DOE25'!J239</f>
        <v>3007.16</v>
      </c>
      <c r="G8" s="53">
        <f>'DOE25'!K203+'DOE25'!K221+'DOE25'!K239</f>
        <v>17894.12</v>
      </c>
      <c r="H8" s="260"/>
    </row>
    <row r="9" spans="1:9" x14ac:dyDescent="0.2">
      <c r="A9" s="32">
        <v>2310</v>
      </c>
      <c r="B9" t="s">
        <v>818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1374814.73</v>
      </c>
      <c r="D12" s="20">
        <f>'DOE25'!L204+'DOE25'!L222+'DOE25'!L240-F12-G12</f>
        <v>1352291.8699999999</v>
      </c>
      <c r="E12" s="244"/>
      <c r="F12" s="256">
        <f>'DOE25'!J204+'DOE25'!J222+'DOE25'!J240</f>
        <v>266.49</v>
      </c>
      <c r="G12" s="53">
        <f>'DOE25'!K204+'DOE25'!K222+'DOE25'!K240</f>
        <v>22256.37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1472780.28</v>
      </c>
      <c r="D14" s="20">
        <f>'DOE25'!L206+'DOE25'!L224+'DOE25'!L242-F14-G14</f>
        <v>1470128.6</v>
      </c>
      <c r="E14" s="244"/>
      <c r="F14" s="256">
        <f>'DOE25'!J206+'DOE25'!J224+'DOE25'!J242</f>
        <v>2651.6800000000003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1440383.57</v>
      </c>
      <c r="D15" s="20">
        <f>'DOE25'!L207+'DOE25'!L225+'DOE25'!L243-F15-G15</f>
        <v>1440383.57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4650</v>
      </c>
      <c r="D22" s="244"/>
      <c r="E22" s="244"/>
      <c r="F22" s="256">
        <f>'DOE25'!L254+'DOE25'!L335</f>
        <v>4650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394855.7</v>
      </c>
      <c r="D25" s="244"/>
      <c r="E25" s="244"/>
      <c r="F25" s="259"/>
      <c r="G25" s="257"/>
      <c r="H25" s="258">
        <f>'DOE25'!L259+'DOE25'!L260+'DOE25'!L340+'DOE25'!L341</f>
        <v>394855.7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384607.37000000005</v>
      </c>
      <c r="D29" s="20">
        <f>'DOE25'!L357+'DOE25'!L358+'DOE25'!L359-'DOE25'!I366-F29-G29</f>
        <v>380234.80000000005</v>
      </c>
      <c r="E29" s="244"/>
      <c r="F29" s="256">
        <f>'DOE25'!J357+'DOE25'!J358+'DOE25'!J359</f>
        <v>1270.42</v>
      </c>
      <c r="G29" s="53">
        <f>'DOE25'!K357+'DOE25'!K358+'DOE25'!K359</f>
        <v>3102.15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1590100.04</v>
      </c>
      <c r="D31" s="20">
        <f>'DOE25'!L289+'DOE25'!L308+'DOE25'!L327+'DOE25'!L332+'DOE25'!L333+'DOE25'!L334-F31-G31</f>
        <v>1435778.5999999999</v>
      </c>
      <c r="E31" s="244"/>
      <c r="F31" s="256">
        <f>'DOE25'!J289+'DOE25'!J308+'DOE25'!J327+'DOE25'!J332+'DOE25'!J333+'DOE25'!J334</f>
        <v>91803.110000000015</v>
      </c>
      <c r="G31" s="53">
        <f>'DOE25'!K289+'DOE25'!K308+'DOE25'!K327+'DOE25'!K332+'DOE25'!K333+'DOE25'!K334</f>
        <v>62518.33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21924406.570000004</v>
      </c>
      <c r="E33" s="247">
        <f>SUM(E5:E31)</f>
        <v>785883.04</v>
      </c>
      <c r="F33" s="247">
        <f>SUM(F5:F31)</f>
        <v>264201.63</v>
      </c>
      <c r="G33" s="247">
        <f>SUM(G5:G31)</f>
        <v>327758.29000000004</v>
      </c>
      <c r="H33" s="247">
        <f>SUM(H5:H31)</f>
        <v>394855.7</v>
      </c>
    </row>
    <row r="35" spans="2:8" ht="12" thickBot="1" x14ac:dyDescent="0.25">
      <c r="B35" s="254" t="s">
        <v>847</v>
      </c>
      <c r="D35" s="255">
        <f>E33</f>
        <v>785883.04</v>
      </c>
      <c r="E35" s="250"/>
    </row>
    <row r="36" spans="2:8" ht="12" thickTop="1" x14ac:dyDescent="0.2">
      <c r="B36" t="s">
        <v>815</v>
      </c>
      <c r="D36" s="20">
        <f>D33</f>
        <v>21924406.570000004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Newfound Area School District - SAU #4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909072.04999999993</v>
      </c>
      <c r="D8" s="95">
        <f>'DOE25'!G9</f>
        <v>72422.799999999988</v>
      </c>
      <c r="E8" s="95">
        <f>'DOE25'!H9</f>
        <v>0</v>
      </c>
      <c r="F8" s="95">
        <f>'DOE25'!I9</f>
        <v>0</v>
      </c>
      <c r="G8" s="95">
        <f>'DOE25'!J9</f>
        <v>135820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6444.66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118016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67305.55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34373.370000000003</v>
      </c>
      <c r="D12" s="95">
        <f>'DOE25'!G13</f>
        <v>13002.89</v>
      </c>
      <c r="E12" s="95">
        <f>'DOE25'!H13</f>
        <v>170604.03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2582.23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13338.01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1019777.86</v>
      </c>
      <c r="D18" s="41">
        <f>SUM(D8:D17)</f>
        <v>98763.699999999983</v>
      </c>
      <c r="E18" s="41">
        <f>SUM(E8:E17)</f>
        <v>170604.03</v>
      </c>
      <c r="F18" s="41">
        <f>SUM(F8:F17)</f>
        <v>0</v>
      </c>
      <c r="G18" s="41">
        <f>SUM(G8:G17)</f>
        <v>253836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90995.33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3094.08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191730.52000000002</v>
      </c>
      <c r="D23" s="95">
        <f>'DOE25'!G24</f>
        <v>735.29</v>
      </c>
      <c r="E23" s="95">
        <f>'DOE25'!H24</f>
        <v>13472.08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66834.37</v>
      </c>
      <c r="D29" s="95">
        <f>'DOE25'!G30</f>
        <v>13391.98</v>
      </c>
      <c r="E29" s="95">
        <f>'DOE25'!H30</f>
        <v>65137.57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261658.97</v>
      </c>
      <c r="D31" s="41">
        <f>SUM(D21:D30)</f>
        <v>14127.27</v>
      </c>
      <c r="E31" s="41">
        <f>SUM(E21:E30)</f>
        <v>169604.98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118016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13338.01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71298.42</v>
      </c>
      <c r="E46" s="95">
        <f>'DOE25'!H47</f>
        <v>999.05</v>
      </c>
      <c r="F46" s="95">
        <f>'DOE25'!I47</f>
        <v>0</v>
      </c>
      <c r="G46" s="95">
        <f>'DOE25'!J47</f>
        <v>135820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698118.89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758118.89</v>
      </c>
      <c r="D49" s="41">
        <f>SUM(D34:D48)</f>
        <v>84636.43</v>
      </c>
      <c r="E49" s="41">
        <f>SUM(E34:E48)</f>
        <v>999.05</v>
      </c>
      <c r="F49" s="41">
        <f>SUM(F34:F48)</f>
        <v>0</v>
      </c>
      <c r="G49" s="41">
        <f>SUM(G34:G48)</f>
        <v>253836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1019777.86</v>
      </c>
      <c r="D50" s="41">
        <f>D49+D31</f>
        <v>98763.7</v>
      </c>
      <c r="E50" s="41">
        <f>E49+E31</f>
        <v>170604.03</v>
      </c>
      <c r="F50" s="41">
        <f>F49+F31</f>
        <v>0</v>
      </c>
      <c r="G50" s="41">
        <f>G49+G31</f>
        <v>253836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12900052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70380.100000000006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2771.3</v>
      </c>
      <c r="D58" s="95">
        <f>'DOE25'!G95</f>
        <v>119.04</v>
      </c>
      <c r="E58" s="95">
        <f>'DOE25'!H95</f>
        <v>0</v>
      </c>
      <c r="F58" s="95">
        <f>'DOE25'!I95</f>
        <v>0</v>
      </c>
      <c r="G58" s="95">
        <f>'DOE25'!J95</f>
        <v>524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268379.65999999997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147027.71000000002</v>
      </c>
      <c r="D60" s="95">
        <f>SUM('DOE25'!G97:G109)</f>
        <v>0</v>
      </c>
      <c r="E60" s="95">
        <f>SUM('DOE25'!H97:H109)</f>
        <v>133113.27000000002</v>
      </c>
      <c r="F60" s="95">
        <f>SUM('DOE25'!I97:I109)</f>
        <v>0</v>
      </c>
      <c r="G60" s="95">
        <f>SUM('DOE25'!J97:J109)</f>
        <v>347093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220179.11000000004</v>
      </c>
      <c r="D61" s="130">
        <f>SUM(D56:D60)</f>
        <v>268498.69999999995</v>
      </c>
      <c r="E61" s="130">
        <f>SUM(E56:E60)</f>
        <v>133113.27000000002</v>
      </c>
      <c r="F61" s="130">
        <f>SUM(F56:F60)</f>
        <v>0</v>
      </c>
      <c r="G61" s="130">
        <f>SUM(G56:G60)</f>
        <v>347617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13120231.109999999</v>
      </c>
      <c r="D62" s="22">
        <f>D55+D61</f>
        <v>268498.69999999995</v>
      </c>
      <c r="E62" s="22">
        <f>E55+E61</f>
        <v>133113.27000000002</v>
      </c>
      <c r="F62" s="22">
        <f>F55+F61</f>
        <v>0</v>
      </c>
      <c r="G62" s="22">
        <f>G55+G61</f>
        <v>347617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3783497.85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4143434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3278.15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7930210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97426.21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114299.51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5776.92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5668.33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217502.64</v>
      </c>
      <c r="D77" s="130">
        <f>SUM(D71:D76)</f>
        <v>5668.33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8147712.6399999997</v>
      </c>
      <c r="D80" s="130">
        <f>SUM(D78:D79)+D77+D69</f>
        <v>5668.33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527115.07000000007</v>
      </c>
      <c r="D87" s="95">
        <f>SUM('DOE25'!G152:G160)</f>
        <v>299152.31</v>
      </c>
      <c r="E87" s="95">
        <f>SUM('DOE25'!H152:H160)</f>
        <v>1437861.15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3376.65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530491.72000000009</v>
      </c>
      <c r="D90" s="131">
        <f>SUM(D84:D89)</f>
        <v>299152.31</v>
      </c>
      <c r="E90" s="131">
        <f>SUM(E84:E89)</f>
        <v>1437861.15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20000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20000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21798435.469999999</v>
      </c>
      <c r="D103" s="86">
        <f>D62+D80+D90+D102</f>
        <v>593319.34</v>
      </c>
      <c r="E103" s="86">
        <f>E62+E80+E90+E102</f>
        <v>1570974.42</v>
      </c>
      <c r="F103" s="86">
        <f>F62+F80+F90+F102</f>
        <v>0</v>
      </c>
      <c r="G103" s="86">
        <f>G62+G80+G102</f>
        <v>347617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8698550.8300000001</v>
      </c>
      <c r="D108" s="24" t="s">
        <v>289</v>
      </c>
      <c r="E108" s="95">
        <f>('DOE25'!L275)+('DOE25'!L294)+('DOE25'!L313)</f>
        <v>532509.31999999995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4360198</v>
      </c>
      <c r="D109" s="24" t="s">
        <v>289</v>
      </c>
      <c r="E109" s="95">
        <f>('DOE25'!L276)+('DOE25'!L295)+('DOE25'!L314)</f>
        <v>145478.44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32008.75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353754.29000000004</v>
      </c>
      <c r="D111" s="24" t="s">
        <v>289</v>
      </c>
      <c r="E111" s="95">
        <f>+('DOE25'!L278)+('DOE25'!L297)+('DOE25'!L316)</f>
        <v>350544.43000000005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13444511.870000001</v>
      </c>
      <c r="D114" s="86">
        <f>SUM(D108:D113)</f>
        <v>0</v>
      </c>
      <c r="E114" s="86">
        <f>SUM(E108:E113)</f>
        <v>1028532.1900000001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1947374.43</v>
      </c>
      <c r="D117" s="24" t="s">
        <v>289</v>
      </c>
      <c r="E117" s="95">
        <f>+('DOE25'!L280)+('DOE25'!L299)+('DOE25'!L318)</f>
        <v>146592.91999999998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836242.92</v>
      </c>
      <c r="D118" s="24" t="s">
        <v>289</v>
      </c>
      <c r="E118" s="95">
        <f>+('DOE25'!L281)+('DOE25'!L300)+('DOE25'!L319)</f>
        <v>270437.94999999995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806784.32000000007</v>
      </c>
      <c r="D119" s="24" t="s">
        <v>289</v>
      </c>
      <c r="E119" s="95">
        <f>+('DOE25'!L282)+('DOE25'!L301)+('DOE25'!L320)</f>
        <v>136061.14000000001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1374814.73</v>
      </c>
      <c r="D120" s="24" t="s">
        <v>289</v>
      </c>
      <c r="E120" s="95">
        <f>+('DOE25'!L283)+('DOE25'!L302)+('DOE25'!L321)</f>
        <v>2820.25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1472780.28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1440383.57</v>
      </c>
      <c r="D123" s="24" t="s">
        <v>289</v>
      </c>
      <c r="E123" s="95">
        <f>+('DOE25'!L286)+('DOE25'!L305)+('DOE25'!L324)</f>
        <v>5655.59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634265.81000000006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7878380.2500000009</v>
      </c>
      <c r="D127" s="86">
        <f>SUM(D117:D126)</f>
        <v>634265.81000000006</v>
      </c>
      <c r="E127" s="86">
        <f>SUM(E117:E126)</f>
        <v>561567.85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4650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177138.1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217717.6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20000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347617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-347617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419505.69999999995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21742397.82</v>
      </c>
      <c r="D144" s="86">
        <f>(D114+D127+D143)</f>
        <v>634265.81000000006</v>
      </c>
      <c r="E144" s="86">
        <f>(E114+E127+E143)</f>
        <v>1590100.04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01/26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2657078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5.54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2657078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2657078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2479939.46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2479939.46</v>
      </c>
    </row>
    <row r="159" spans="1:9" x14ac:dyDescent="0.2">
      <c r="A159" s="22" t="s">
        <v>36</v>
      </c>
      <c r="B159" s="137">
        <f>'DOE25'!F498</f>
        <v>996067.64999999991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996067.64999999991</v>
      </c>
    </row>
    <row r="160" spans="1:9" x14ac:dyDescent="0.2">
      <c r="A160" s="22" t="s">
        <v>37</v>
      </c>
      <c r="B160" s="137">
        <f>'DOE25'!F499</f>
        <v>3476007.11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3476007.11</v>
      </c>
    </row>
    <row r="161" spans="1:7" x14ac:dyDescent="0.2">
      <c r="A161" s="22" t="s">
        <v>38</v>
      </c>
      <c r="B161" s="137">
        <f>'DOE25'!F500</f>
        <v>177138.54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177138.54</v>
      </c>
    </row>
    <row r="162" spans="1:7" x14ac:dyDescent="0.2">
      <c r="A162" s="22" t="s">
        <v>39</v>
      </c>
      <c r="B162" s="137">
        <f>'DOE25'!F501</f>
        <v>134935.27000000002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134935.27000000002</v>
      </c>
    </row>
    <row r="163" spans="1:7" x14ac:dyDescent="0.2">
      <c r="A163" s="22" t="s">
        <v>246</v>
      </c>
      <c r="B163" s="137">
        <f>'DOE25'!F502</f>
        <v>312073.81000000006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312073.81000000006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Newfound Area School District - SAU #4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16597</v>
      </c>
    </row>
    <row r="5" spans="1:4" x14ac:dyDescent="0.2">
      <c r="B5" t="s">
        <v>704</v>
      </c>
      <c r="C5" s="179">
        <f>IF('DOE25'!G664+'DOE25'!G669=0,0,ROUND('DOE25'!G671,0))</f>
        <v>16560</v>
      </c>
    </row>
    <row r="6" spans="1:4" x14ac:dyDescent="0.2">
      <c r="B6" t="s">
        <v>62</v>
      </c>
      <c r="C6" s="179">
        <f>IF('DOE25'!H664+'DOE25'!H669=0,0,ROUND('DOE25'!H671,0))</f>
        <v>17239</v>
      </c>
    </row>
    <row r="7" spans="1:4" x14ac:dyDescent="0.2">
      <c r="B7" t="s">
        <v>705</v>
      </c>
      <c r="C7" s="179">
        <f>IF('DOE25'!I664+'DOE25'!I669=0,0,ROUND('DOE25'!I671,0))</f>
        <v>16794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9231060</v>
      </c>
      <c r="D10" s="182">
        <f>ROUND((C10/$C$28)*100,1)</f>
        <v>39.299999999999997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4505676</v>
      </c>
      <c r="D11" s="182">
        <f>ROUND((C11/$C$28)*100,1)</f>
        <v>19.2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32009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704299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2093967</v>
      </c>
      <c r="D15" s="182">
        <f t="shared" ref="D15:D27" si="0">ROUND((C15/$C$28)*100,1)</f>
        <v>8.9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1106681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942845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1377635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1472780</v>
      </c>
      <c r="D20" s="182">
        <f t="shared" si="0"/>
        <v>6.3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1446039</v>
      </c>
      <c r="D21" s="182">
        <f t="shared" si="0"/>
        <v>6.2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217718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365886.34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23496595.34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4650</v>
      </c>
    </row>
    <row r="30" spans="1:4" x14ac:dyDescent="0.2">
      <c r="B30" s="187" t="s">
        <v>729</v>
      </c>
      <c r="C30" s="180">
        <f>SUM(C28:C29)</f>
        <v>23501245.34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177138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12900052</v>
      </c>
      <c r="D35" s="182">
        <f t="shared" ref="D35:D40" si="1">ROUND((C35/$C$41)*100,1)</f>
        <v>53.7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701028.41999999806</v>
      </c>
      <c r="D36" s="182">
        <f t="shared" si="1"/>
        <v>2.9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7930210</v>
      </c>
      <c r="D37" s="182">
        <f t="shared" si="1"/>
        <v>33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223171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2267505</v>
      </c>
      <c r="D39" s="182">
        <f t="shared" si="1"/>
        <v>9.4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24021966.419999998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 x14ac:dyDescent="0.2">
      <c r="A2" s="297" t="s">
        <v>767</v>
      </c>
      <c r="B2" s="298"/>
      <c r="C2" s="298"/>
      <c r="D2" s="298"/>
      <c r="E2" s="298"/>
      <c r="F2" s="291" t="str">
        <f>'DOE25'!A2</f>
        <v>Newfound Area School District - SAU #4</v>
      </c>
      <c r="G2" s="292"/>
      <c r="H2" s="292"/>
      <c r="I2" s="292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2012-09-07T13:46:15Z</cp:lastPrinted>
  <dcterms:created xsi:type="dcterms:W3CDTF">1997-12-04T19:04:30Z</dcterms:created>
  <dcterms:modified xsi:type="dcterms:W3CDTF">2012-11-21T15:07:05Z</dcterms:modified>
</cp:coreProperties>
</file>