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/>
  <c r="L527" i="1"/>
  <c r="G550" i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H50" i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L256" i="1" s="1"/>
  <c r="L270" i="1" s="1"/>
  <c r="G631" i="1" s="1"/>
  <c r="J631" i="1" s="1"/>
  <c r="K256" i="1"/>
  <c r="K270" i="1"/>
  <c r="I256" i="1"/>
  <c r="I270" i="1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61" i="2"/>
  <c r="F62" i="2"/>
  <c r="D31" i="2"/>
  <c r="C127" i="2"/>
  <c r="C77" i="2"/>
  <c r="C80" i="2" s="1"/>
  <c r="D49" i="2"/>
  <c r="D50" i="2" s="1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J638" i="1"/>
  <c r="K604" i="1"/>
  <c r="G647" i="1"/>
  <c r="J570" i="1"/>
  <c r="K570" i="1"/>
  <c r="L432" i="1"/>
  <c r="L418" i="1"/>
  <c r="I168" i="1"/>
  <c r="H168" i="1"/>
  <c r="L433" i="1"/>
  <c r="G637" i="1" s="1"/>
  <c r="J637" i="1" s="1"/>
  <c r="J643" i="1"/>
  <c r="J642" i="1"/>
  <c r="J475" i="1"/>
  <c r="H625" i="1" s="1"/>
  <c r="H475" i="1"/>
  <c r="H623" i="1" s="1"/>
  <c r="J623" i="1" s="1"/>
  <c r="F475" i="1"/>
  <c r="H621" i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K597" i="1"/>
  <c r="G646" i="1" s="1"/>
  <c r="J646" i="1" s="1"/>
  <c r="K544" i="1"/>
  <c r="C29" i="10"/>
  <c r="I660" i="1"/>
  <c r="H139" i="1"/>
  <c r="L400" i="1"/>
  <c r="C138" i="2"/>
  <c r="L392" i="1"/>
  <c r="A13" i="12"/>
  <c r="F22" i="13"/>
  <c r="H25" i="13"/>
  <c r="C25" i="13" s="1"/>
  <c r="J639" i="1"/>
  <c r="J633" i="1"/>
  <c r="H570" i="1"/>
  <c r="L559" i="1"/>
  <c r="J544" i="1"/>
  <c r="L336" i="1"/>
  <c r="H337" i="1"/>
  <c r="H351" i="1"/>
  <c r="F337" i="1"/>
  <c r="F351" i="1"/>
  <c r="G191" i="1"/>
  <c r="H191" i="1"/>
  <c r="E127" i="2"/>
  <c r="E144" i="2"/>
  <c r="C35" i="10"/>
  <c r="L308" i="1"/>
  <c r="L337" i="1" s="1"/>
  <c r="L351" i="1" s="1"/>
  <c r="G632" i="1" s="1"/>
  <c r="J632" i="1" s="1"/>
  <c r="D5" i="13"/>
  <c r="C5" i="13"/>
  <c r="E16" i="13"/>
  <c r="E33" i="13"/>
  <c r="D35" i="13" s="1"/>
  <c r="C49" i="2"/>
  <c r="C50" i="2" s="1"/>
  <c r="J654" i="1"/>
  <c r="J644" i="1"/>
  <c r="L569" i="1"/>
  <c r="I570" i="1"/>
  <c r="I544" i="1"/>
  <c r="J635" i="1"/>
  <c r="H192" i="1"/>
  <c r="G628" i="1" s="1"/>
  <c r="J628" i="1" s="1"/>
  <c r="L564" i="1"/>
  <c r="L570" i="1"/>
  <c r="G544" i="1"/>
  <c r="L544" i="1"/>
  <c r="H544" i="1"/>
  <c r="C22" i="13"/>
  <c r="C137" i="2"/>
  <c r="G659" i="1"/>
  <c r="H33" i="13"/>
  <c r="F544" i="1"/>
  <c r="F551" i="1"/>
  <c r="J641" i="1"/>
  <c r="G256" i="1"/>
  <c r="G270" i="1" s="1"/>
  <c r="C16" i="13"/>
  <c r="E103" i="2"/>
  <c r="C39" i="10"/>
  <c r="F192" i="1"/>
  <c r="G626" i="1" s="1"/>
  <c r="J626" i="1" s="1"/>
  <c r="C103" i="2"/>
  <c r="C36" i="10"/>
  <c r="H51" i="1"/>
  <c r="H618" i="1" s="1"/>
  <c r="J618" i="1" s="1"/>
  <c r="F51" i="1"/>
  <c r="H616" i="1" s="1"/>
  <c r="J616" i="1" s="1"/>
  <c r="G51" i="1"/>
  <c r="H617" i="1"/>
  <c r="J617" i="1" s="1"/>
  <c r="J19" i="1"/>
  <c r="G620" i="1" s="1"/>
  <c r="A22" i="12"/>
  <c r="J551" i="1" l="1"/>
  <c r="K550" i="1"/>
  <c r="K548" i="1"/>
  <c r="H551" i="1"/>
  <c r="G192" i="1"/>
  <c r="G627" i="1" s="1"/>
  <c r="J627" i="1" s="1"/>
  <c r="C27" i="10"/>
  <c r="G634" i="1"/>
  <c r="F663" i="1"/>
  <c r="I659" i="1"/>
  <c r="I663" i="1" s="1"/>
  <c r="G36" i="2"/>
  <c r="G49" i="2" s="1"/>
  <c r="J50" i="1"/>
  <c r="G625" i="1" s="1"/>
  <c r="J625" i="1" s="1"/>
  <c r="G18" i="2"/>
  <c r="I551" i="1"/>
  <c r="K549" i="1"/>
  <c r="G663" i="1"/>
  <c r="I662" i="1"/>
  <c r="H663" i="1"/>
  <c r="J648" i="1"/>
  <c r="H433" i="1"/>
  <c r="D144" i="2"/>
  <c r="D102" i="2"/>
  <c r="D80" i="2"/>
  <c r="F80" i="2"/>
  <c r="G551" i="1"/>
  <c r="J192" i="1"/>
  <c r="G62" i="2"/>
  <c r="L406" i="1"/>
  <c r="F31" i="13"/>
  <c r="F103" i="2"/>
  <c r="J634" i="1"/>
  <c r="G433" i="1"/>
  <c r="F143" i="2"/>
  <c r="F144" i="2" s="1"/>
  <c r="G80" i="2"/>
  <c r="I139" i="1"/>
  <c r="C38" i="10" s="1"/>
  <c r="I671" i="1"/>
  <c r="C7" i="10" s="1"/>
  <c r="I666" i="1"/>
  <c r="J351" i="1"/>
  <c r="H647" i="1"/>
  <c r="J647" i="1" s="1"/>
  <c r="G160" i="2"/>
  <c r="G21" i="2"/>
  <c r="G31" i="2" s="1"/>
  <c r="G50" i="2" s="1"/>
  <c r="J32" i="1"/>
  <c r="J51" i="1" s="1"/>
  <c r="H620" i="1" s="1"/>
  <c r="J620" i="1" s="1"/>
  <c r="G103" i="2"/>
  <c r="G163" i="2"/>
  <c r="C28" i="10"/>
  <c r="I192" i="1"/>
  <c r="G629" i="1" s="1"/>
  <c r="J629" i="1" s="1"/>
  <c r="C41" i="10" l="1"/>
  <c r="D31" i="13"/>
  <c r="F33" i="13"/>
  <c r="D103" i="2"/>
  <c r="F666" i="1"/>
  <c r="F671" i="1"/>
  <c r="C4" i="10" s="1"/>
  <c r="C139" i="2"/>
  <c r="C140" i="2" s="1"/>
  <c r="C143" i="2" s="1"/>
  <c r="C144" i="2" s="1"/>
  <c r="L407" i="1"/>
  <c r="G630" i="1"/>
  <c r="J630" i="1" s="1"/>
  <c r="G645" i="1"/>
  <c r="H671" i="1"/>
  <c r="H666" i="1"/>
  <c r="G666" i="1"/>
  <c r="G671" i="1"/>
  <c r="K551" i="1"/>
  <c r="D26" i="10"/>
  <c r="D22" i="10"/>
  <c r="D10" i="10"/>
  <c r="D13" i="10"/>
  <c r="D18" i="10"/>
  <c r="D27" i="10"/>
  <c r="D15" i="10"/>
  <c r="D24" i="10"/>
  <c r="C30" i="10"/>
  <c r="D25" i="10"/>
  <c r="D21" i="10"/>
  <c r="D20" i="10"/>
  <c r="D12" i="10"/>
  <c r="D16" i="10"/>
  <c r="D19" i="10"/>
  <c r="D11" i="10"/>
  <c r="D17" i="10"/>
  <c r="D23" i="10"/>
  <c r="D36" i="10" l="1"/>
  <c r="D37" i="10"/>
  <c r="D39" i="10"/>
  <c r="D40" i="10"/>
  <c r="D35" i="10"/>
  <c r="G636" i="1"/>
  <c r="H645" i="1"/>
  <c r="J645" i="1" s="1"/>
  <c r="C31" i="13"/>
  <c r="D33" i="13"/>
  <c r="D36" i="13" s="1"/>
  <c r="D38" i="10"/>
  <c r="D28" i="10"/>
  <c r="J636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<sst xmlns="http://schemas.openxmlformats.org/spreadsheetml/2006/main" count="3944" uniqueCount="911">
  <si>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</si>
  <si>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</si>
  <si>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</si>
  <si>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</si>
  <si>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</si>
  <si>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</si>
  <si>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</si>
  <si>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</si>
  <si>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</si>
  <si>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</si>
  <si>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</si>
  <si>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</si>
  <si>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</si>
  <si>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</si>
  <si>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</si>
  <si>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</si>
  <si>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</si>
  <si>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</si>
  <si>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</si>
  <si>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</si>
  <si>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</si>
  <si>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</si>
  <si>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</si>
  <si>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</si>
  <si>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</si>
  <si>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</si>
  <si>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</si>
  <si>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</si>
  <si>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</si>
  <si>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</si>
  <si>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</si>
  <si>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</si>
  <si>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</si>
  <si>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</si>
  <si>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</si>
  <si>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</si>
  <si>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</si>
  <si>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</si>
  <si>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</si>
  <si>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</si>
  <si>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</si>
  <si>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</si>
  <si>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</si>
  <si>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</si>
  <si>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</si>
  <si>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</si>
  <si>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</si>
  <si>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</si>
  <si>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</si>
  <si>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</si>
  <si>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</si>
  <si>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</si>
  <si>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</si>
  <si>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</si>
  <si>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</si>
  <si>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</si>
  <si>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</si>
  <si>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</si>
  <si>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</si>
  <si>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</si>
  <si>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</si>
  <si>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</si>
  <si>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</si>
  <si>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</si>
  <si>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</si>
  <si>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</si>
  <si>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</si>
  <si>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</si>
  <si>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</si>
  <si>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</si>
  <si>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</si>
  <si>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</si>
  <si>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</si>
  <si>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</si>
  <si>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</si>
  <si>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</si>
  <si>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</si>
  <si>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</si>
  <si>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</si>
  <si>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</si>
  <si>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</si>
  <si>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</si>
  <si>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</si>
  <si>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</si>
  <si>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</si>
  <si>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</si>
  <si>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</si>
  <si>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</si>
  <si>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</si>
  <si>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</si>
  <si>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</si>
  <si>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</si>
  <si>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</si>
  <si>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</si>
  <si>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</si>
  <si>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</si>
  <si>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</si>
  <si>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</si>
  <si>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</si>
  <si>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</si>
  <si>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</si>
  <si>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</si>
  <si>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</si>
  <si>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</si>
  <si>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</si>
  <si>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</si>
  <si>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</si>
  <si>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</si>
  <si>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</si>
  <si>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</si>
  <si>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</si>
  <si>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</si>
  <si>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</si>
  <si>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</si>
  <si>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</si>
  <si>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</si>
  <si>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</si>
  <si>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</si>
  <si>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</si>
  <si>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</si>
  <si>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</si>
  <si>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</si>
  <si>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</si>
  <si>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</si>
  <si>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</si>
  <si>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</si>
  <si>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</si>
  <si>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</si>
  <si>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</si>
  <si>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</si>
  <si>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</si>
  <si>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</si>
  <si>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</si>
  <si>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</si>
  <si>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</si>
  <si>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</si>
  <si>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</si>
  <si>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</si>
  <si>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</si>
  <si>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</si>
  <si>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</si>
  <si>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</si>
  <si>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</si>
  <si>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</si>
  <si>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</si>
  <si>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</si>
  <si>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</si>
  <si>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</si>
  <si>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</si>
  <si>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</si>
  <si>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</si>
  <si>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</si>
  <si>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</si>
  <si>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</si>
  <si>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</si>
  <si>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</si>
  <si>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</si>
  <si>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</si>
  <si>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</si>
  <si>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</si>
  <si>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</si>
  <si>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</si>
  <si>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</si>
  <si>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</si>
  <si>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</si>
  <si>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</si>
  <si>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</si>
  <si>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</si>
  <si>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</si>
  <si>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</si>
  <si>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</si>
  <si>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</si>
  <si>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</si>
  <si>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</si>
  <si>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</si>
  <si>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</si>
  <si>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</si>
  <si>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</si>
  <si>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</si>
  <si>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</si>
  <si>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</si>
  <si>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</si>
  <si>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</si>
  <si>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</si>
  <si>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</si>
  <si>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</si>
  <si>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</si>
  <si>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</si>
  <si>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</si>
  <si>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</si>
  <si>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</si>
  <si>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</si>
  <si>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</si>
  <si>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</si>
  <si>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</si>
  <si>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</si>
  <si>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</si>
  <si>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</si>
  <si>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</si>
  <si>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</si>
  <si>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</si>
  <si>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</si>
  <si>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</si>
  <si>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</si>
  <si>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</si>
  <si>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</si>
  <si>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</si>
  <si>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</si>
  <si>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</si>
  <si>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</si>
  <si>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</si>
  <si>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</si>
  <si>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</si>
  <si>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</si>
  <si>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</si>
  <si>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</si>
  <si>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</si>
  <si>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</si>
  <si>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</si>
  <si>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</si>
  <si>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</si>
  <si>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</si>
  <si>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</si>
  <si>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</si>
  <si>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</si>
  <si>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</si>
  <si>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</si>
  <si>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</si>
  <si>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</si>
  <si>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</si>
  <si>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</si>
  <si>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</si>
  <si>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</si>
  <si>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</si>
  <si>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</si>
  <si>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</si>
  <si>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</si>
  <si>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</si>
  <si>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</si>
  <si>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</si>
  <si>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</si>
  <si>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</si>
  <si>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</si>
  <si>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</si>
  <si>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</si>
  <si>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</si>
  <si>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</si>
  <si>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</si>
  <si>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</si>
  <si>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</si>
  <si>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</si>
  <si>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</si>
  <si>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</si>
  <si>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</si>
  <si>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</si>
  <si>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</si>
  <si>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</si>
  <si>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</si>
  <si>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</si>
  <si>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</si>
  <si>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</si>
  <si>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</si>
  <si>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</si>
  <si>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</si>
  <si>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</si>
  <si>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</si>
  <si>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</si>
  <si>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</si>
  <si>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</si>
  <si>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</si>
  <si>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</si>
  <si>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</si>
  <si>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</si>
  <si>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</si>
  <si>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</si>
  <si>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</si>
  <si>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</si>
  <si>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</si>
  <si>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</si>
  <si>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</si>
  <si>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</si>
  <si>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</si>
  <si>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</si>
  <si>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</si>
  <si>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</si>
  <si>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</si>
  <si>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</si>
  <si>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</si>
  <si>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</si>
  <si>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</si>
  <si>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</si>
  <si>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</si>
  <si>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</si>
  <si>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</si>
  <si>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</si>
  <si>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</si>
  <si>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</si>
  <si>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</si>
  <si>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</si>
  <si>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</si>
  <si>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</si>
  <si>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</si>
  <si>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</si>
  <si>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</si>
  <si>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</si>
  <si>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</si>
  <si>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</si>
  <si>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</si>
  <si>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</si>
  <si>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</si>
  <si>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</si>
  <si>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</si>
  <si>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</si>
  <si>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</si>
  <si>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</si>
  <si>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</si>
  <si>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</si>
  <si>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</si>
  <si>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</si>
  <si>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</si>
  <si>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</si>
  <si>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</si>
  <si>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</si>
  <si>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</si>
  <si>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</si>
  <si>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</si>
  <si>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</si>
  <si>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</si>
  <si>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</si>
  <si>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</si>
  <si>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</si>
  <si>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</si>
  <si>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</si>
  <si>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</si>
  <si>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</si>
  <si>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</si>
  <si>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</si>
  <si>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</si>
  <si>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</si>
  <si>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</si>
  <si>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</si>
  <si>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</si>
  <si>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</si>
  <si>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</si>
  <si>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</si>
  <si>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</si>
  <si>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</si>
  <si>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</si>
  <si>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</si>
  <si>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</si>
  <si>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</si>
  <si>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</si>
  <si>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</si>
  <si>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</si>
  <si>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</si>
  <si>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</si>
  <si>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</si>
  <si>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</si>
  <si>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</si>
  <si>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</si>
  <si>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</si>
  <si>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</si>
  <si>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</si>
  <si>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</si>
  <si>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</si>
  <si>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</si>
  <si>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</si>
  <si>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</si>
  <si>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</si>
  <si>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</si>
  <si>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</si>
  <si>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</si>
  <si>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</si>
  <si>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</si>
  <si>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</si>
  <si>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</si>
  <si>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</si>
  <si>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</si>
  <si>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</si>
  <si>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</si>
  <si>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</si>
  <si>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</si>
  <si>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</si>
  <si>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</si>
  <si>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</si>
  <si>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</si>
  <si>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</si>
  <si>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</si>
  <si>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</si>
  <si>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</si>
  <si>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</si>
  <si>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</si>
  <si>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</si>
  <si>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</si>
  <si>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</si>
  <si>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</si>
  <si>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</si>
  <si>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</si>
  <si>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</si>
  <si>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</si>
  <si>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</si>
  <si>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</si>
  <si>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</si>
  <si>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</si>
  <si>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</si>
  <si>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</si>
  <si>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</si>
  <si>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</si>
  <si>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</si>
  <si>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</si>
  <si>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</si>
  <si>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</si>
  <si>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</si>
  <si>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</si>
  <si>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</si>
  <si>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</si>
  <si>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</si>
  <si>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</si>
  <si>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</si>
  <si>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</si>
  <si>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</si>
  <si>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</si>
  <si>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</si>
  <si>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</si>
  <si>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</si>
  <si>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</si>
  <si>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</si>
  <si>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</si>
  <si>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</si>
  <si>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</si>
  <si>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</si>
  <si>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</si>
  <si>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</si>
  <si>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</si>
  <si>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</si>
  <si>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</si>
  <si>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</si>
  <si>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</si>
  <si>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</si>
  <si>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</si>
  <si>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</si>
  <si>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</si>
  <si>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</si>
  <si>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</si>
  <si>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</si>
  <si>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</si>
  <si>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</si>
  <si>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</si>
  <si>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</si>
  <si>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</si>
  <si>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</si>
  <si>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</si>
  <si>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</si>
  <si>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</si>
  <si>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</si>
  <si>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</si>
  <si>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</si>
  <si>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</si>
  <si>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</si>
  <si>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</si>
  <si>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</si>
  <si>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</si>
  <si>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</si>
  <si>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</si>
  <si>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</si>
  <si>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</si>
  <si>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</si>
  <si>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</si>
  <si>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</si>
  <si>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</si>
  <si>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</si>
  <si>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</si>
  <si>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</si>
  <si>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</si>
  <si>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</si>
  <si>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</si>
  <si>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</si>
  <si>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</si>
  <si>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</si>
  <si>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</si>
  <si>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</si>
  <si>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</si>
  <si>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</si>
  <si>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</si>
  <si>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</si>
  <si>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</si>
  <si>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</si>
  <si>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</si>
  <si>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</si>
  <si>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</si>
  <si>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</si>
  <si>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</si>
  <si>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</si>
  <si>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</si>
  <si>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</si>
  <si>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</si>
  <si>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</si>
  <si>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</si>
  <si>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</si>
  <si>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</si>
  <si>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</si>
  <si>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</si>
  <si>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</si>
  <si>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</si>
  <si>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</si>
  <si>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</si>
  <si>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</si>
  <si>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</si>
  <si>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</si>
  <si>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</si>
  <si>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</si>
  <si>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</si>
  <si>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</si>
  <si>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</si>
  <si>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</si>
  <si>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</si>
  <si>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</si>
  <si>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</si>
  <si>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</si>
  <si>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</si>
  <si>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</si>
  <si>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</si>
  <si>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</si>
  <si>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</si>
  <si>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</si>
  <si>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</si>
  <si>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</si>
  <si>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</si>
  <si>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</si>
  <si>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</si>
  <si>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</si>
  <si>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</si>
  <si>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</si>
  <si>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</si>
  <si>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</si>
  <si>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</si>
  <si>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</si>
  <si>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</si>
  <si>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</si>
  <si>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</si>
  <si>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</si>
  <si>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</si>
  <si>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</si>
  <si>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</si>
  <si>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</si>
  <si>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</si>
  <si>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</si>
  <si>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</si>
  <si>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</si>
  <si>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</si>
  <si>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</si>
  <si>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</si>
  <si>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</si>
  <si>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</si>
  <si>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</si>
  <si>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</si>
  <si>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</si>
  <si>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</si>
  <si>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</si>
  <si>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</si>
  <si>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</si>
  <si>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</si>
  <si>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</si>
  <si>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</si>
  <si>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</si>
  <si>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</si>
  <si>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</si>
  <si>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</si>
  <si>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</si>
  <si>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</si>
  <si>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</si>
  <si>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</si>
  <si>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</si>
  <si>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</si>
  <si>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</si>
  <si>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</si>
  <si>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</si>
  <si>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</si>
  <si>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</si>
  <si>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</si>
  <si>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</si>
  <si>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</si>
  <si>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</si>
  <si>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</si>
  <si>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</si>
  <si>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</si>
  <si>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</si>
  <si>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</si>
  <si>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</si>
  <si>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</si>
  <si>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</si>
  <si>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</si>
  <si>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</si>
  <si>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</si>
  <si>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</si>
  <si>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</si>
  <si>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</si>
  <si>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</si>
  <si>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</si>
  <si>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</si>
  <si>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</si>
  <si>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</si>
  <si>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</si>
  <si>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</si>
  <si>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</si>
  <si>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</si>
  <si>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</si>
  <si>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</si>
  <si>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</si>
  <si>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</si>
  <si>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</si>
  <si>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</si>
  <si>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</si>
  <si>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</si>
  <si>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</si>
  <si>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</si>
  <si>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</si>
  <si>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</si>
  <si>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</si>
  <si>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</si>
  <si>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</si>
  <si>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</si>
  <si>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</si>
  <si>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</si>
  <si>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</si>
  <si>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</si>
  <si>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</si>
  <si>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</si>
  <si>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</si>
  <si>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</si>
  <si>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</si>
  <si>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</si>
  <si>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</si>
  <si>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</si>
  <si>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</si>
  <si>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</si>
  <si>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</si>
  <si>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</si>
  <si>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</si>
  <si>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</si>
  <si>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</si>
  <si>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</si>
  <si>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</si>
  <si>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</si>
  <si>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</si>
  <si>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</si>
  <si>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</si>
  <si>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</si>
  <si>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</si>
  <si>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</si>
  <si>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</si>
  <si>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</si>
  <si>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</si>
  <si>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</si>
  <si>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</si>
  <si>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</si>
  <si>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</si>
  <si>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</si>
  <si>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</si>
  <si>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</si>
  <si>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</si>
  <si>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</si>
  <si>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</si>
  <si>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</si>
  <si>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</si>
  <si>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</si>
  <si>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</si>
  <si>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</si>
  <si>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</si>
  <si>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</si>
  <si>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</si>
  <si>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</si>
  <si>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</si>
  <si>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</si>
  <si>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</si>
  <si>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</si>
  <si>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</si>
  <si>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</si>
  <si>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</si>
  <si>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</si>
  <si>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</si>
  <si>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</si>
  <si>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</si>
  <si>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</si>
  <si>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</si>
  <si>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</si>
  <si>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</si>
  <si>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</si>
  <si>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</si>
  <si>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</si>
  <si>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</si>
  <si>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</si>
  <si>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</si>
  <si>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</si>
  <si>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</si>
  <si>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</si>
  <si>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</si>
  <si>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</si>
  <si>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</si>
  <si>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</si>
  <si>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</si>
  <si>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</si>
  <si>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</si>
  <si>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</si>
  <si>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</si>
  <si>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</si>
  <si>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</si>
  <si>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</si>
  <si>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</si>
  <si>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</si>
  <si>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</si>
  <si>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</si>
  <si>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</si>
  <si>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</si>
  <si>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</si>
  <si>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</si>
  <si>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</si>
  <si>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</si>
  <si>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</si>
  <si>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</si>
  <si>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</si>
  <si>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</si>
  <si>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</si>
  <si>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</si>
  <si>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</si>
  <si>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</si>
  <si>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</si>
  <si>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</si>
  <si>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</si>
  <si>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</si>
  <si>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</si>
  <si>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</si>
  <si>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</si>
  <si>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</si>
  <si>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</si>
  <si>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</si>
  <si>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</si>
  <si>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</si>
  <si>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</si>
  <si>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</si>
  <si>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</si>
  <si>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</si>
  <si>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</si>
  <si>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</si>
  <si>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</si>
  <si>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</si>
  <si>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</si>
  <si>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</si>
  <si>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</si>
  <si>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</si>
  <si>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</si>
  <si>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</si>
  <si>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</si>
  <si>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</si>
  <si>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</si>
  <si>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</si>
  <si>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</si>
  <si>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</si>
  <si>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</si>
  <si>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</si>
  <si>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</si>
  <si>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</si>
  <si>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</si>
  <si>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</si>
  <si>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</si>
  <si>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</si>
  <si>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</si>
  <si>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</si>
  <si>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</si>
  <si>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</si>
  <si>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</si>
  <si>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</si>
  <si>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</si>
  <si>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</si>
  <si>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</si>
  <si>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</si>
  <si>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</si>
  <si>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</si>
  <si>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</si>
  <si>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</si>
  <si>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</si>
  <si>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</si>
  <si>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</si>
  <si>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</si>
  <si>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</si>
  <si>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</si>
  <si>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</si>
  <si>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</si>
  <si>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</si>
  <si>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</si>
  <si>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</si>
  <si>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</si>
  <si>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</si>
  <si>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</si>
  <si>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</si>
  <si>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</si>
  <si>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</si>
  <si>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</si>
  <si>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</si>
  <si>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</si>
  <si>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</si>
  <si>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</si>
  <si>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</si>
  <si>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</si>
  <si>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</si>
  <si>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</si>
  <si>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</si>
  <si>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</si>
  <si>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</si>
  <si>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</si>
  <si>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</si>
  <si>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</si>
  <si>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</si>
  <si>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</si>
  <si>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</si>
  <si>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</si>
  <si>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</si>
  <si>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</si>
  <si>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</si>
  <si>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</si>
  <si>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</si>
  <si>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</si>
  <si>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</si>
  <si>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</si>
  <si>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</si>
  <si>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</si>
  <si>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</si>
  <si>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</si>
  <si>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</si>
  <si>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</si>
  <si>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</si>
  <si>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</si>
  <si>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</si>
  <si>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</si>
  <si>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</si>
  <si>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</si>
  <si>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</si>
  <si>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</si>
  <si>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</si>
  <si>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</si>
  <si>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</si>
  <si>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</si>
  <si>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</si>
  <si>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</si>
  <si>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</si>
  <si>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</si>
  <si>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</si>
  <si>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</si>
  <si>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</si>
  <si>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</si>
  <si>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</si>
  <si>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</si>
  <si>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</si>
  <si>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</si>
  <si>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</si>
  <si>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</si>
  <si>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</si>
  <si>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</si>
  <si>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</si>
  <si>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</si>
  <si>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</si>
  <si>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</si>
  <si>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</si>
  <si>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</si>
  <si>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</si>
  <si>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</si>
  <si>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</si>
  <si>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</si>
  <si>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</si>
  <si>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</si>
  <si>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</si>
  <si>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</si>
  <si>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</si>
  <si>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</si>
  <si>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</si>
  <si>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</si>
  <si>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</si>
  <si>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</si>
  <si>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</si>
  <si>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</si>
  <si>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</si>
  <si>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</si>
  <si>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</si>
  <si>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</si>
  <si>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</si>
  <si>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</si>
  <si>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</si>
  <si>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</si>
  <si>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</si>
  <si>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</si>
  <si>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</si>
  <si>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</si>
  <si>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</si>
  <si>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</si>
  <si>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</si>
  <si>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</si>
  <si>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</si>
  <si>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</si>
  <si>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</si>
  <si>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</si>
  <si>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</si>
  <si>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</si>
  <si>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</si>
  <si>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</si>
  <si>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</si>
  <si>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</si>
  <si>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</si>
  <si>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</si>
  <si>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</si>
  <si>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NEWINGTON SCHOOL DISTRICT</t>
  </si>
  <si>
    <t>Increase in food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</si>
</sst>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391</v>
      </c>
      <c r="C2" s="21">
        <v>391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38585.75</v>
      </c>
      <c r="G9" s="18">
        <v>14121.39</v>
      </c>
      <c r="H9" s="18"/>
      <c r="I9" s="18">
        <v>23933.97</v>
      </c>
      <c r="J9" s="67">
        <f>SUM(I438)</f>
        <v>100431.93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19617.28</v>
      </c>
      <c r="G12" s="18"/>
      <c r="H12" s="18">
        <v>1598.56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497.28</v>
      </c>
      <c r="H13" s="18">
        <v>5185.0200000000004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730.4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58203.03</v>
      </c>
      <c r="G19" s="41">
        <f>SUM(G9:G18)</f>
        <v>15349.07</v>
      </c>
      <c r="H19" s="41">
        <f>SUM(H9:H18)</f>
        <v>6783.58</v>
      </c>
      <c r="I19" s="41">
        <f>SUM(I9:I18)</f>
        <v>23933.97</v>
      </c>
      <c r="J19" s="41">
        <f>SUM(J9:J18)</f>
        <v>100431.93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1598.56</v>
      </c>
      <c r="G22" s="18">
        <v>14432.26</v>
      </c>
      <c r="H22" s="18">
        <v>5185.0200000000004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2931.11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416.18</v>
      </c>
      <c r="G24" s="18">
        <v>186.41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3497.17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1000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9443.02</v>
      </c>
      <c r="G32" s="41">
        <f>SUM(G22:G31)</f>
        <v>14618.67</v>
      </c>
      <c r="H32" s="41">
        <f>SUM(H22:H31)</f>
        <v>5185.0200000000004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730.4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5217.2299999999996</v>
      </c>
      <c r="G47" s="18"/>
      <c r="H47" s="18">
        <v>1598.56</v>
      </c>
      <c r="I47" s="18">
        <v>23933.97</v>
      </c>
      <c r="J47" s="13">
        <f>SUM(I458)</f>
        <v>100431.93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43542.78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48760.009999999995</v>
      </c>
      <c r="G50" s="41">
        <f>SUM(G35:G49)</f>
        <v>730.4</v>
      </c>
      <c r="H50" s="41">
        <f>SUM(H35:H49)</f>
        <v>1598.56</v>
      </c>
      <c r="I50" s="41">
        <f>SUM(I35:I49)</f>
        <v>23933.97</v>
      </c>
      <c r="J50" s="41">
        <f>SUM(J35:J49)</f>
        <v>100431.93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58203.03</v>
      </c>
      <c r="G51" s="41">
        <f>G50+G32</f>
        <v>15349.07</v>
      </c>
      <c r="H51" s="41">
        <f>H50+H32</f>
        <v>6783.58</v>
      </c>
      <c r="I51" s="41">
        <f>I50+I32</f>
        <v>23933.97</v>
      </c>
      <c r="J51" s="41">
        <f>J50+J32</f>
        <v>100431.93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485518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485518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10150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10150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148.9</v>
      </c>
      <c r="G95" s="18"/>
      <c r="H95" s="18"/>
      <c r="I95" s="18">
        <v>17.940000000000001</v>
      </c>
      <c r="J95" s="18">
        <v>75.28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14121.39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11053.39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13409.9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11202.289999999999</v>
      </c>
      <c r="G110" s="41">
        <f>SUM(G95:G109)</f>
        <v>14121.39</v>
      </c>
      <c r="H110" s="41">
        <f>SUM(H95:H109)</f>
        <v>13409.9</v>
      </c>
      <c r="I110" s="41">
        <f>SUM(I95:I109)</f>
        <v>17.940000000000001</v>
      </c>
      <c r="J110" s="41">
        <f>SUM(J95:J109)</f>
        <v>75.28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506870.29</v>
      </c>
      <c r="G111" s="41">
        <f>G59+G110</f>
        <v>14121.39</v>
      </c>
      <c r="H111" s="41">
        <f>H59+H78+H93+H110</f>
        <v>13409.9</v>
      </c>
      <c r="I111" s="41">
        <f>I59+I110</f>
        <v>17.940000000000001</v>
      </c>
      <c r="J111" s="41">
        <f>J59+J110</f>
        <v>75.28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1182540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1182540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1563.4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1563.4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1182540</v>
      </c>
      <c r="G139" s="41">
        <f>G120+SUM(G135:G136)</f>
        <v>1563.4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39093.279999999999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1913.8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1029.78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1029.78</v>
      </c>
      <c r="G161" s="41">
        <f>SUM(G149:G160)</f>
        <v>1913.8</v>
      </c>
      <c r="H161" s="41">
        <f>SUM(H149:H160)</f>
        <v>39093.279999999999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1029.78</v>
      </c>
      <c r="G168" s="41">
        <f>G146+G161+SUM(G162:G167)</f>
        <v>1913.8</v>
      </c>
      <c r="H168" s="41">
        <f>H146+H161+SUM(H162:H167)</f>
        <v>39093.279999999999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26548.639999999999</v>
      </c>
      <c r="H178" s="18">
        <v>1072.26</v>
      </c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26548.639999999999</v>
      </c>
      <c r="H182" s="41">
        <f>SUM(H178:H181)</f>
        <v>1072.26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26548.639999999999</v>
      </c>
      <c r="H191" s="41">
        <f>+H182+SUM(H187:H190)</f>
        <v>1072.26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1690440.07</v>
      </c>
      <c r="G192" s="47">
        <f>G111+G139+G168+G191</f>
        <v>44147.229999999996</v>
      </c>
      <c r="H192" s="47">
        <f>H111+H139+H168+H191</f>
        <v>53575.44</v>
      </c>
      <c r="I192" s="47">
        <f>I111+I139+I168+I191</f>
        <v>17.940000000000001</v>
      </c>
      <c r="J192" s="47">
        <f>J111+J139+J191</f>
        <v>75.28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299458.40999999997</v>
      </c>
      <c r="G196" s="18">
        <v>141706.70000000001</v>
      </c>
      <c r="H196" s="18"/>
      <c r="I196" s="18">
        <v>13571.7</v>
      </c>
      <c r="J196" s="18">
        <v>3078.64</v>
      </c>
      <c r="K196" s="18"/>
      <c r="L196" s="19">
        <f>SUM(F196:K196)</f>
        <v>457815.45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65329</v>
      </c>
      <c r="G197" s="18">
        <v>30914.33</v>
      </c>
      <c r="H197" s="18">
        <v>899.42</v>
      </c>
      <c r="I197" s="18">
        <v>1723.38</v>
      </c>
      <c r="J197" s="18">
        <v>79.98</v>
      </c>
      <c r="K197" s="18">
        <v>334</v>
      </c>
      <c r="L197" s="19">
        <f>SUM(F197:K197)</f>
        <v>99280.11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6637.56</v>
      </c>
      <c r="G199" s="18">
        <v>3140.96</v>
      </c>
      <c r="H199" s="18">
        <v>2556.56</v>
      </c>
      <c r="I199" s="18">
        <v>1881.3</v>
      </c>
      <c r="J199" s="18">
        <v>149.97999999999999</v>
      </c>
      <c r="K199" s="18"/>
      <c r="L199" s="19">
        <f>SUM(F199:K199)</f>
        <v>14366.359999999999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33353.56</v>
      </c>
      <c r="G201" s="18">
        <v>15783.24</v>
      </c>
      <c r="H201" s="18">
        <v>1648</v>
      </c>
      <c r="I201" s="18">
        <v>553.39</v>
      </c>
      <c r="J201" s="18">
        <v>299.26</v>
      </c>
      <c r="K201" s="18"/>
      <c r="L201" s="19">
        <f t="shared" ref="L201:L207" si="0">SUM(F201:K201)</f>
        <v>51637.45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8440.75</v>
      </c>
      <c r="H202" s="18">
        <v>10943.17</v>
      </c>
      <c r="I202" s="18">
        <v>14153.41</v>
      </c>
      <c r="J202" s="18">
        <v>1637.58</v>
      </c>
      <c r="K202" s="18">
        <v>1580.69</v>
      </c>
      <c r="L202" s="19">
        <f t="shared" si="0"/>
        <v>36755.600000000006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8160</v>
      </c>
      <c r="G203" s="18">
        <v>1450.21</v>
      </c>
      <c r="H203" s="18">
        <v>113134.94</v>
      </c>
      <c r="I203" s="18"/>
      <c r="J203" s="18"/>
      <c r="K203" s="18">
        <v>3623.94</v>
      </c>
      <c r="L203" s="19">
        <f t="shared" si="0"/>
        <v>126369.09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95391.88</v>
      </c>
      <c r="G204" s="18">
        <v>45910.39</v>
      </c>
      <c r="H204" s="18">
        <v>3679.83</v>
      </c>
      <c r="I204" s="18">
        <v>889.25</v>
      </c>
      <c r="J204" s="18">
        <v>292.10000000000002</v>
      </c>
      <c r="K204" s="18">
        <v>770</v>
      </c>
      <c r="L204" s="19">
        <f t="shared" si="0"/>
        <v>146933.45000000001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3626.25</v>
      </c>
      <c r="L205" s="19">
        <f t="shared" si="0"/>
        <v>3626.25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34265.26</v>
      </c>
      <c r="G206" s="18">
        <v>16214.66</v>
      </c>
      <c r="H206" s="18">
        <v>13965.49</v>
      </c>
      <c r="I206" s="18">
        <v>25284.880000000001</v>
      </c>
      <c r="J206" s="18">
        <v>9067.5499999999993</v>
      </c>
      <c r="K206" s="18"/>
      <c r="L206" s="19">
        <f t="shared" si="0"/>
        <v>98797.84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30320.14</v>
      </c>
      <c r="I207" s="18"/>
      <c r="J207" s="18"/>
      <c r="K207" s="18"/>
      <c r="L207" s="19">
        <f t="shared" si="0"/>
        <v>30320.14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780</v>
      </c>
      <c r="H208" s="18">
        <v>877.25</v>
      </c>
      <c r="I208" s="18">
        <v>12.95</v>
      </c>
      <c r="J208" s="18">
        <v>7655</v>
      </c>
      <c r="K208" s="18"/>
      <c r="L208" s="19">
        <f>SUM(F208:K208)</f>
        <v>9325.2000000000007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542595.66999999993</v>
      </c>
      <c r="G210" s="41">
        <f t="shared" si="1"/>
        <v>264341.24</v>
      </c>
      <c r="H210" s="41">
        <f t="shared" si="1"/>
        <v>178024.8</v>
      </c>
      <c r="I210" s="41">
        <f t="shared" si="1"/>
        <v>58070.259999999995</v>
      </c>
      <c r="J210" s="41">
        <f t="shared" si="1"/>
        <v>22260.09</v>
      </c>
      <c r="K210" s="41">
        <f t="shared" si="1"/>
        <v>9934.880000000001</v>
      </c>
      <c r="L210" s="41">
        <f t="shared" si="1"/>
        <v>1075226.94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228093.23</v>
      </c>
      <c r="I214" s="18"/>
      <c r="J214" s="18"/>
      <c r="K214" s="18"/>
      <c r="L214" s="19">
        <f>SUM(F214:K214)</f>
        <v>228093.23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1020</v>
      </c>
      <c r="G221" s="18">
        <v>181.28</v>
      </c>
      <c r="H221" s="18">
        <v>14141.87</v>
      </c>
      <c r="I221" s="18"/>
      <c r="J221" s="18"/>
      <c r="K221" s="18">
        <v>452.99</v>
      </c>
      <c r="L221" s="19">
        <f t="shared" si="2"/>
        <v>15796.140000000001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10546.5</v>
      </c>
      <c r="I225" s="18"/>
      <c r="J225" s="18"/>
      <c r="K225" s="18"/>
      <c r="L225" s="19">
        <f t="shared" si="2"/>
        <v>10546.5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1020</v>
      </c>
      <c r="G228" s="41">
        <f>SUM(G214:G227)</f>
        <v>181.28</v>
      </c>
      <c r="H228" s="41">
        <f>SUM(H214:H227)</f>
        <v>252781.6</v>
      </c>
      <c r="I228" s="41">
        <f>SUM(I214:I227)</f>
        <v>0</v>
      </c>
      <c r="J228" s="41">
        <f>SUM(J214:J227)</f>
        <v>0</v>
      </c>
      <c r="K228" s="41">
        <f t="shared" si="3"/>
        <v>452.99</v>
      </c>
      <c r="L228" s="41">
        <f t="shared" si="3"/>
        <v>254435.87000000002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387503.22</v>
      </c>
      <c r="I232" s="18"/>
      <c r="J232" s="18"/>
      <c r="K232" s="18"/>
      <c r="L232" s="19">
        <f>SUM(F232:K232)</f>
        <v>387503.22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5236.07</v>
      </c>
      <c r="I233" s="18"/>
      <c r="J233" s="18"/>
      <c r="K233" s="18"/>
      <c r="L233" s="19">
        <f>SUM(F233:K233)</f>
        <v>5236.07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1020</v>
      </c>
      <c r="G239" s="18">
        <v>181.28</v>
      </c>
      <c r="H239" s="18">
        <v>14141.86</v>
      </c>
      <c r="I239" s="18"/>
      <c r="J239" s="18"/>
      <c r="K239" s="18">
        <v>452.99</v>
      </c>
      <c r="L239" s="19">
        <f t="shared" si="4"/>
        <v>15796.130000000001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10546.5</v>
      </c>
      <c r="I243" s="18"/>
      <c r="J243" s="18"/>
      <c r="K243" s="18"/>
      <c r="L243" s="19">
        <f t="shared" si="4"/>
        <v>10546.5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1020</v>
      </c>
      <c r="G246" s="41">
        <f t="shared" si="5"/>
        <v>181.28</v>
      </c>
      <c r="H246" s="41">
        <f t="shared" si="5"/>
        <v>417427.64999999997</v>
      </c>
      <c r="I246" s="41">
        <f t="shared" si="5"/>
        <v>0</v>
      </c>
      <c r="J246" s="41">
        <f t="shared" si="5"/>
        <v>0</v>
      </c>
      <c r="K246" s="41">
        <f t="shared" si="5"/>
        <v>452.99</v>
      </c>
      <c r="L246" s="41">
        <f t="shared" si="5"/>
        <v>419081.92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1662.12</v>
      </c>
      <c r="I254" s="18"/>
      <c r="J254" s="18"/>
      <c r="K254" s="18"/>
      <c r="L254" s="19">
        <f t="shared" si="6"/>
        <v>1662.12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1662.12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1662.12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544635.66999999993</v>
      </c>
      <c r="G256" s="41">
        <f t="shared" si="8"/>
        <v>264703.80000000005</v>
      </c>
      <c r="H256" s="41">
        <f t="shared" si="8"/>
        <v>849896.17</v>
      </c>
      <c r="I256" s="41">
        <f t="shared" si="8"/>
        <v>58070.259999999995</v>
      </c>
      <c r="J256" s="41">
        <f t="shared" si="8"/>
        <v>22260.09</v>
      </c>
      <c r="K256" s="41">
        <f t="shared" si="8"/>
        <v>10840.86</v>
      </c>
      <c r="L256" s="41">
        <f t="shared" si="8"/>
        <v>1750406.85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26548.639999999999</v>
      </c>
      <c r="L262" s="19">
        <f>SUM(F262:K262)</f>
        <v>26548.639999999999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1072.26</v>
      </c>
      <c r="L263" s="19">
        <f t="shared" ref="L263:L269" si="9">SUM(F263:K263)</f>
        <v>1072.26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27620.899999999998</v>
      </c>
      <c r="L269" s="41">
        <f t="shared" si="9"/>
        <v>27620.899999999998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544635.66999999993</v>
      </c>
      <c r="G270" s="42">
        <f t="shared" si="11"/>
        <v>264703.80000000005</v>
      </c>
      <c r="H270" s="42">
        <f t="shared" si="11"/>
        <v>849896.17</v>
      </c>
      <c r="I270" s="42">
        <f t="shared" si="11"/>
        <v>58070.259999999995</v>
      </c>
      <c r="J270" s="42">
        <f t="shared" si="11"/>
        <v>22260.09</v>
      </c>
      <c r="K270" s="42">
        <f t="shared" si="11"/>
        <v>38461.759999999995</v>
      </c>
      <c r="L270" s="42">
        <f t="shared" si="11"/>
        <v>1778027.75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20035.259999999998</v>
      </c>
      <c r="G275" s="18">
        <v>2924.89</v>
      </c>
      <c r="H275" s="18"/>
      <c r="I275" s="18">
        <v>19.16</v>
      </c>
      <c r="J275" s="18"/>
      <c r="K275" s="18"/>
      <c r="L275" s="19">
        <f>SUM(F275:K275)</f>
        <v>22979.309999999998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v>6803</v>
      </c>
      <c r="I278" s="18">
        <v>2455.13</v>
      </c>
      <c r="J278" s="18"/>
      <c r="K278" s="18"/>
      <c r="L278" s="19">
        <f>SUM(F278:K278)</f>
        <v>9258.130000000001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500</v>
      </c>
      <c r="G281" s="18">
        <v>44</v>
      </c>
      <c r="H281" s="18">
        <v>5635.17</v>
      </c>
      <c r="I281" s="18">
        <v>4343</v>
      </c>
      <c r="J281" s="18">
        <v>6419.66</v>
      </c>
      <c r="K281" s="18"/>
      <c r="L281" s="19">
        <f t="shared" si="12"/>
        <v>16941.830000000002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3000</v>
      </c>
      <c r="G283" s="18">
        <v>658</v>
      </c>
      <c r="H283" s="18"/>
      <c r="I283" s="18">
        <v>266.58</v>
      </c>
      <c r="J283" s="18"/>
      <c r="K283" s="18"/>
      <c r="L283" s="19">
        <f t="shared" si="12"/>
        <v>3924.58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v>17.98</v>
      </c>
      <c r="J285" s="18">
        <v>356.46</v>
      </c>
      <c r="K285" s="18"/>
      <c r="L285" s="19">
        <f t="shared" si="12"/>
        <v>374.44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5853.03</v>
      </c>
      <c r="I287" s="18"/>
      <c r="J287" s="18"/>
      <c r="K287" s="18"/>
      <c r="L287" s="19">
        <f>SUM(F287:K287)</f>
        <v>5853.03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23535.26</v>
      </c>
      <c r="G289" s="42">
        <f t="shared" si="13"/>
        <v>3626.89</v>
      </c>
      <c r="H289" s="42">
        <f t="shared" si="13"/>
        <v>18291.2</v>
      </c>
      <c r="I289" s="42">
        <f t="shared" si="13"/>
        <v>7101.8499999999995</v>
      </c>
      <c r="J289" s="42">
        <f t="shared" si="13"/>
        <v>6776.12</v>
      </c>
      <c r="K289" s="42">
        <f t="shared" si="13"/>
        <v>0</v>
      </c>
      <c r="L289" s="41">
        <f t="shared" si="13"/>
        <v>59331.320000000007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23535.26</v>
      </c>
      <c r="G337" s="41">
        <f t="shared" si="20"/>
        <v>3626.89</v>
      </c>
      <c r="H337" s="41">
        <f t="shared" si="20"/>
        <v>18291.2</v>
      </c>
      <c r="I337" s="41">
        <f t="shared" si="20"/>
        <v>7101.8499999999995</v>
      </c>
      <c r="J337" s="41">
        <f t="shared" si="20"/>
        <v>6776.12</v>
      </c>
      <c r="K337" s="41">
        <f t="shared" si="20"/>
        <v>0</v>
      </c>
      <c r="L337" s="41">
        <f t="shared" si="20"/>
        <v>59331.320000000007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23535.26</v>
      </c>
      <c r="G351" s="41">
        <f>G337</f>
        <v>3626.89</v>
      </c>
      <c r="H351" s="41">
        <f>H337</f>
        <v>18291.2</v>
      </c>
      <c r="I351" s="41">
        <f>I337</f>
        <v>7101.8499999999995</v>
      </c>
      <c r="J351" s="41">
        <f>J337</f>
        <v>6776.12</v>
      </c>
      <c r="K351" s="47">
        <f>K337+K350</f>
        <v>0</v>
      </c>
      <c r="L351" s="41">
        <f>L337+L350</f>
        <v>59331.320000000007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10173.48</v>
      </c>
      <c r="G357" s="18">
        <v>4814.18</v>
      </c>
      <c r="H357" s="18">
        <v>535.35</v>
      </c>
      <c r="I357" s="18">
        <v>19287.669999999998</v>
      </c>
      <c r="J357" s="18">
        <v>9336.5499999999993</v>
      </c>
      <c r="K357" s="18"/>
      <c r="L357" s="13">
        <f>SUM(F357:K357)</f>
        <v>44147.229999999996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10173.48</v>
      </c>
      <c r="G361" s="47">
        <f t="shared" si="22"/>
        <v>4814.18</v>
      </c>
      <c r="H361" s="47">
        <f t="shared" si="22"/>
        <v>535.35</v>
      </c>
      <c r="I361" s="47">
        <f t="shared" si="22"/>
        <v>19287.669999999998</v>
      </c>
      <c r="J361" s="47">
        <f t="shared" si="22"/>
        <v>9336.5499999999993</v>
      </c>
      <c r="K361" s="47">
        <f t="shared" si="22"/>
        <v>0</v>
      </c>
      <c r="L361" s="47">
        <f t="shared" si="22"/>
        <v>44147.229999999996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16942.810000000001</v>
      </c>
      <c r="G366" s="18"/>
      <c r="H366" s="18"/>
      <c r="I366" s="56">
        <f>SUM(F366:H366)</f>
        <v>16942.810000000001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2344.86</v>
      </c>
      <c r="G367" s="63"/>
      <c r="H367" s="63"/>
      <c r="I367" s="56">
        <f>SUM(F367:H367)</f>
        <v>2344.86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19287.670000000002</v>
      </c>
      <c r="G368" s="47">
        <f>SUM(G366:G367)</f>
        <v>0</v>
      </c>
      <c r="H368" s="47">
        <f>SUM(H366:H367)</f>
        <v>0</v>
      </c>
      <c r="I368" s="47">
        <f>SUM(I366:I367)</f>
        <v>19287.670000000002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75.28</v>
      </c>
      <c r="I395" s="18"/>
      <c r="J395" s="24" t="s">
        <v>289</v>
      </c>
      <c r="K395" s="24" t="s">
        <v>289</v>
      </c>
      <c r="L395" s="56">
        <f t="shared" si="26"/>
        <v>75.28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75.28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75.28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75.28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75.28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13506.53</v>
      </c>
      <c r="I421" s="18"/>
      <c r="J421" s="18"/>
      <c r="K421" s="18"/>
      <c r="L421" s="56">
        <f t="shared" si="29"/>
        <v>13506.53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13506.53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13506.53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13506.53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13506.53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100431.93</v>
      </c>
      <c r="H438" s="18"/>
      <c r="I438" s="56">
        <f t="shared" ref="I438:I444" si="33">SUM(F438:H438)</f>
        <v>100431.93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100431.93</v>
      </c>
      <c r="H445" s="13">
        <f>SUM(H438:H444)</f>
        <v>0</v>
      </c>
      <c r="I445" s="13">
        <f>SUM(I438:I444)</f>
        <v>100431.93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100431.93</v>
      </c>
      <c r="H458" s="18"/>
      <c r="I458" s="56">
        <f t="shared" si="34"/>
        <v>100431.93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100431.93</v>
      </c>
      <c r="H459" s="83">
        <f>SUM(H453:H458)</f>
        <v>0</v>
      </c>
      <c r="I459" s="83">
        <f>SUM(I453:I458)</f>
        <v>100431.93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100431.93</v>
      </c>
      <c r="H460" s="42">
        <f>H451+H459</f>
        <v>0</v>
      </c>
      <c r="I460" s="42">
        <f>I451+I459</f>
        <v>100431.93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136347.69</v>
      </c>
      <c r="G464" s="18">
        <v>519.59</v>
      </c>
      <c r="H464" s="18">
        <v>7354.44</v>
      </c>
      <c r="I464" s="18">
        <v>23916.03</v>
      </c>
      <c r="J464" s="18">
        <v>113863.18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1690440.07</v>
      </c>
      <c r="G467" s="18">
        <v>44147.23</v>
      </c>
      <c r="H467" s="18">
        <v>53575.44</v>
      </c>
      <c r="I467" s="18">
        <v>17.940000000000001</v>
      </c>
      <c r="J467" s="18">
        <v>75.28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210.81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1690440.07</v>
      </c>
      <c r="G469" s="53">
        <f>SUM(G467:G468)</f>
        <v>44358.04</v>
      </c>
      <c r="H469" s="53">
        <f>SUM(H467:H468)</f>
        <v>53575.44</v>
      </c>
      <c r="I469" s="53">
        <f>SUM(I467:I468)</f>
        <v>17.940000000000001</v>
      </c>
      <c r="J469" s="53">
        <f>SUM(J467:J468)</f>
        <v>75.28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1778027.75</v>
      </c>
      <c r="G471" s="18">
        <v>44147.23</v>
      </c>
      <c r="H471" s="18">
        <v>59331.32</v>
      </c>
      <c r="I471" s="18"/>
      <c r="J471" s="18">
        <v>13506.53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1778027.75</v>
      </c>
      <c r="G473" s="53">
        <f>SUM(G471:G472)</f>
        <v>44147.23</v>
      </c>
      <c r="H473" s="53">
        <f>SUM(H471:H472)</f>
        <v>59331.32</v>
      </c>
      <c r="I473" s="53">
        <f>SUM(I471:I472)</f>
        <v>0</v>
      </c>
      <c r="J473" s="53">
        <f>SUM(J471:J472)</f>
        <v>13506.53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48760.010000000009</v>
      </c>
      <c r="G475" s="53">
        <f>(G464+G469)- G473</f>
        <v>730.39999999999418</v>
      </c>
      <c r="H475" s="53">
        <f>(H464+H469)- H473</f>
        <v>1598.5600000000049</v>
      </c>
      <c r="I475" s="53">
        <f>(I464+I469)- I473</f>
        <v>23933.969999999998</v>
      </c>
      <c r="J475" s="53">
        <f>(J464+J469)- J473</f>
        <v>100431.93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46075.3</v>
      </c>
      <c r="G520" s="18">
        <v>21803.29</v>
      </c>
      <c r="H520" s="18">
        <v>393.62</v>
      </c>
      <c r="I520" s="18">
        <v>760.6</v>
      </c>
      <c r="J520" s="18">
        <v>79.98</v>
      </c>
      <c r="K520" s="18"/>
      <c r="L520" s="88">
        <f>SUM(F520:K520)</f>
        <v>69112.789999999994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9799.35</v>
      </c>
      <c r="G521" s="18">
        <v>4637.1499999999996</v>
      </c>
      <c r="H521" s="18"/>
      <c r="I521" s="18"/>
      <c r="J521" s="18"/>
      <c r="K521" s="18"/>
      <c r="L521" s="88">
        <f>SUM(F521:K521)</f>
        <v>14436.5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9799.35</v>
      </c>
      <c r="G522" s="18">
        <v>4637.1499999999996</v>
      </c>
      <c r="H522" s="18">
        <v>5236.07</v>
      </c>
      <c r="I522" s="18"/>
      <c r="J522" s="18"/>
      <c r="K522" s="18"/>
      <c r="L522" s="88">
        <f>SUM(F522:K522)</f>
        <v>19672.57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65674</v>
      </c>
      <c r="G523" s="108">
        <f t="shared" ref="G523:L523" si="36">SUM(G520:G522)</f>
        <v>31077.590000000004</v>
      </c>
      <c r="H523" s="108">
        <f t="shared" si="36"/>
        <v>5629.69</v>
      </c>
      <c r="I523" s="108">
        <f t="shared" si="36"/>
        <v>760.6</v>
      </c>
      <c r="J523" s="108">
        <f t="shared" si="36"/>
        <v>79.98</v>
      </c>
      <c r="K523" s="108">
        <f t="shared" si="36"/>
        <v>0</v>
      </c>
      <c r="L523" s="89">
        <f t="shared" si="36"/>
        <v>103221.85999999999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19007</v>
      </c>
      <c r="G525" s="18">
        <v>8994.2999999999993</v>
      </c>
      <c r="H525" s="18"/>
      <c r="I525" s="18">
        <v>359.6</v>
      </c>
      <c r="J525" s="18"/>
      <c r="K525" s="18"/>
      <c r="L525" s="88">
        <f>SUM(F525:K525)</f>
        <v>28360.899999999998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19007</v>
      </c>
      <c r="G528" s="89">
        <f t="shared" ref="G528:L528" si="37">SUM(G525:G527)</f>
        <v>8994.2999999999993</v>
      </c>
      <c r="H528" s="89">
        <f t="shared" si="37"/>
        <v>0</v>
      </c>
      <c r="I528" s="89">
        <f t="shared" si="37"/>
        <v>359.6</v>
      </c>
      <c r="J528" s="89">
        <f t="shared" si="37"/>
        <v>0</v>
      </c>
      <c r="K528" s="89">
        <f t="shared" si="37"/>
        <v>0</v>
      </c>
      <c r="L528" s="89">
        <f t="shared" si="37"/>
        <v>28360.899999999998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10396</v>
      </c>
      <c r="G530" s="18">
        <v>3505.25</v>
      </c>
      <c r="H530" s="18">
        <v>1000.42</v>
      </c>
      <c r="I530" s="18">
        <v>323.89999999999998</v>
      </c>
      <c r="J530" s="18">
        <v>116.1</v>
      </c>
      <c r="K530" s="18">
        <v>165.16</v>
      </c>
      <c r="L530" s="88">
        <f>SUM(F530:K530)</f>
        <v>15506.83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742.57</v>
      </c>
      <c r="G531" s="18">
        <v>250.37</v>
      </c>
      <c r="H531" s="18">
        <v>71.459999999999994</v>
      </c>
      <c r="I531" s="18">
        <v>23.14</v>
      </c>
      <c r="J531" s="18">
        <v>8.2899999999999991</v>
      </c>
      <c r="K531" s="18">
        <v>11.8</v>
      </c>
      <c r="L531" s="88">
        <f>SUM(F531:K531)</f>
        <v>1107.6300000000001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3712.86</v>
      </c>
      <c r="G532" s="18">
        <v>1251.8699999999999</v>
      </c>
      <c r="H532" s="18">
        <v>357.29</v>
      </c>
      <c r="I532" s="18">
        <v>115.68</v>
      </c>
      <c r="J532" s="18">
        <v>41.46</v>
      </c>
      <c r="K532" s="18">
        <v>58.99</v>
      </c>
      <c r="L532" s="88">
        <f>SUM(F532:K532)</f>
        <v>5538.15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14851.43</v>
      </c>
      <c r="G533" s="89">
        <f t="shared" ref="G533:L533" si="38">SUM(G530:G532)</f>
        <v>5007.49</v>
      </c>
      <c r="H533" s="89">
        <f t="shared" si="38"/>
        <v>1429.1699999999998</v>
      </c>
      <c r="I533" s="89">
        <f t="shared" si="38"/>
        <v>462.71999999999997</v>
      </c>
      <c r="J533" s="89">
        <f t="shared" si="38"/>
        <v>165.85</v>
      </c>
      <c r="K533" s="89">
        <f t="shared" si="38"/>
        <v>235.95000000000002</v>
      </c>
      <c r="L533" s="89">
        <f t="shared" si="38"/>
        <v>22152.61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99532.43</v>
      </c>
      <c r="G544" s="89">
        <f t="shared" ref="G544:L544" si="41">G523+G528+G533+G538+G543</f>
        <v>45079.38</v>
      </c>
      <c r="H544" s="89">
        <f t="shared" si="41"/>
        <v>7058.86</v>
      </c>
      <c r="I544" s="89">
        <f t="shared" si="41"/>
        <v>1582.92</v>
      </c>
      <c r="J544" s="89">
        <f t="shared" si="41"/>
        <v>245.82999999999998</v>
      </c>
      <c r="K544" s="89">
        <f t="shared" si="41"/>
        <v>235.95000000000002</v>
      </c>
      <c r="L544" s="89">
        <f t="shared" si="41"/>
        <v>153735.37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69112.789999999994</v>
      </c>
      <c r="G548" s="87">
        <f>L525</f>
        <v>28360.899999999998</v>
      </c>
      <c r="H548" s="87">
        <f>L530</f>
        <v>15506.83</v>
      </c>
      <c r="I548" s="87">
        <f>L535</f>
        <v>0</v>
      </c>
      <c r="J548" s="87">
        <f>L540</f>
        <v>0</v>
      </c>
      <c r="K548" s="87">
        <f>SUM(F548:J548)</f>
        <v>112980.51999999999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14436.5</v>
      </c>
      <c r="G549" s="87">
        <f>L526</f>
        <v>0</v>
      </c>
      <c r="H549" s="87">
        <f>L531</f>
        <v>1107.6300000000001</v>
      </c>
      <c r="I549" s="87">
        <f>L536</f>
        <v>0</v>
      </c>
      <c r="J549" s="87">
        <f>L541</f>
        <v>0</v>
      </c>
      <c r="K549" s="87">
        <f>SUM(F549:J549)</f>
        <v>15544.130000000001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19672.57</v>
      </c>
      <c r="G550" s="87">
        <f>L527</f>
        <v>0</v>
      </c>
      <c r="H550" s="87">
        <f>L532</f>
        <v>5538.15</v>
      </c>
      <c r="I550" s="87">
        <f>L537</f>
        <v>0</v>
      </c>
      <c r="J550" s="87">
        <f>L542</f>
        <v>0</v>
      </c>
      <c r="K550" s="87">
        <f>SUM(F550:J550)</f>
        <v>25210.720000000001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103221.85999999999</v>
      </c>
      <c r="G551" s="89">
        <f t="shared" si="42"/>
        <v>28360.899999999998</v>
      </c>
      <c r="H551" s="89">
        <f t="shared" si="42"/>
        <v>22152.61</v>
      </c>
      <c r="I551" s="89">
        <f t="shared" si="42"/>
        <v>0</v>
      </c>
      <c r="J551" s="89">
        <f t="shared" si="42"/>
        <v>0</v>
      </c>
      <c r="K551" s="89">
        <f t="shared" si="42"/>
        <v>153735.37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105.8</v>
      </c>
      <c r="I561" s="18"/>
      <c r="J561" s="18"/>
      <c r="K561" s="18"/>
      <c r="L561" s="88">
        <f>SUM(F561:K561)</f>
        <v>105.8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105.8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105.8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400</v>
      </c>
      <c r="I566" s="18">
        <v>962.78</v>
      </c>
      <c r="J566" s="18"/>
      <c r="K566" s="18">
        <v>334</v>
      </c>
      <c r="L566" s="88">
        <f>SUM(F566:K566)</f>
        <v>1696.78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400</v>
      </c>
      <c r="I569" s="194">
        <f t="shared" si="45"/>
        <v>962.78</v>
      </c>
      <c r="J569" s="194">
        <f t="shared" si="45"/>
        <v>0</v>
      </c>
      <c r="K569" s="194">
        <f t="shared" si="45"/>
        <v>334</v>
      </c>
      <c r="L569" s="194">
        <f t="shared" si="45"/>
        <v>1696.78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505.8</v>
      </c>
      <c r="I570" s="89">
        <f t="shared" si="46"/>
        <v>962.78</v>
      </c>
      <c r="J570" s="89">
        <f t="shared" si="46"/>
        <v>0</v>
      </c>
      <c r="K570" s="89">
        <f t="shared" si="46"/>
        <v>334</v>
      </c>
      <c r="L570" s="89">
        <f t="shared" si="46"/>
        <v>1802.58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228093.23</v>
      </c>
      <c r="H574" s="18">
        <v>387503.22</v>
      </c>
      <c r="I574" s="87">
        <f>SUM(F574:H574)</f>
        <v>615596.44999999995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4312.07</v>
      </c>
      <c r="I578" s="87">
        <f t="shared" si="47"/>
        <v>4312.07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28124</v>
      </c>
      <c r="I590" s="18">
        <v>10546.5</v>
      </c>
      <c r="J590" s="18">
        <v>10546.5</v>
      </c>
      <c r="K590" s="104">
        <f t="shared" ref="K590:K596" si="48">SUM(H590:J590)</f>
        <v>49217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2196.14</v>
      </c>
      <c r="I594" s="18"/>
      <c r="J594" s="18"/>
      <c r="K594" s="104">
        <f t="shared" si="48"/>
        <v>2196.14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30320.14</v>
      </c>
      <c r="I597" s="108">
        <f>SUM(I590:I596)</f>
        <v>10546.5</v>
      </c>
      <c r="J597" s="108">
        <f>SUM(J590:J596)</f>
        <v>10546.5</v>
      </c>
      <c r="K597" s="108">
        <f>SUM(K590:K596)</f>
        <v>51413.14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29036.21</v>
      </c>
      <c r="I601" s="18"/>
      <c r="J601" s="18"/>
      <c r="K601" s="104">
        <f>SUM(H601:J601)</f>
        <v>29036.21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29036.21</v>
      </c>
      <c r="I604" s="108">
        <f>SUM(I601:I603)</f>
        <v>0</v>
      </c>
      <c r="J604" s="108">
        <f>SUM(J601:J603)</f>
        <v>0</v>
      </c>
      <c r="K604" s="108">
        <f>SUM(K601:K603)</f>
        <v>29036.21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345</v>
      </c>
      <c r="G610" s="18">
        <v>163.33000000000001</v>
      </c>
      <c r="H610" s="18"/>
      <c r="I610" s="18"/>
      <c r="J610" s="18"/>
      <c r="K610" s="18"/>
      <c r="L610" s="88">
        <f>SUM(F610:K610)</f>
        <v>508.33000000000004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345</v>
      </c>
      <c r="G613" s="108">
        <f t="shared" si="49"/>
        <v>163.33000000000001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508.33000000000004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58203.03</v>
      </c>
      <c r="H616" s="109">
        <f>SUM(F51)</f>
        <v>58203.03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15349.07</v>
      </c>
      <c r="H617" s="109">
        <f>SUM(G51)</f>
        <v>15349.07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6783.58</v>
      </c>
      <c r="H618" s="109">
        <f>SUM(H51)</f>
        <v>6783.58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23933.97</v>
      </c>
      <c r="H619" s="109">
        <f>SUM(I51)</f>
        <v>23933.97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100431.93</v>
      </c>
      <c r="H620" s="109">
        <f>SUM(J51)</f>
        <v>100431.93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48760.009999999995</v>
      </c>
      <c r="H621" s="109">
        <f>F475</f>
        <v>48760.010000000009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730.4</v>
      </c>
      <c r="H622" s="109">
        <f>G475</f>
        <v>730.39999999999418</v>
      </c>
      <c r="I622" s="121" t="s">
        <v>102</v>
      </c>
      <c r="J622" s="109">
        <f t="shared" si="50"/>
        <v>5.7980287238024175E-12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1598.56</v>
      </c>
      <c r="H623" s="109">
        <f>H475</f>
        <v>1598.5600000000049</v>
      </c>
      <c r="I623" s="121" t="s">
        <v>103</v>
      </c>
      <c r="J623" s="109">
        <f t="shared" si="50"/>
        <v>-5.0022208597511053E-12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23933.97</v>
      </c>
      <c r="H624" s="109">
        <f>I475</f>
        <v>23933.969999999998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100431.93</v>
      </c>
      <c r="H625" s="109">
        <f>J475</f>
        <v>100431.93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1690440.07</v>
      </c>
      <c r="H626" s="104">
        <f>SUM(F467)</f>
        <v>1690440.07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44147.229999999996</v>
      </c>
      <c r="H627" s="104">
        <f>SUM(G467)</f>
        <v>44147.23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53575.44</v>
      </c>
      <c r="H628" s="104">
        <f>SUM(H467)</f>
        <v>53575.44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17.940000000000001</v>
      </c>
      <c r="H629" s="104">
        <f>SUM(I467)</f>
        <v>17.940000000000001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75.28</v>
      </c>
      <c r="H630" s="104">
        <f>SUM(J467)</f>
        <v>75.28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1778027.75</v>
      </c>
      <c r="H631" s="104">
        <f>SUM(F471)</f>
        <v>1778027.75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59331.320000000007</v>
      </c>
      <c r="H632" s="104">
        <f>SUM(H471)</f>
        <v>59331.32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19287.669999999998</v>
      </c>
      <c r="H633" s="104">
        <f>I368</f>
        <v>19287.670000000002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44147.229999999996</v>
      </c>
      <c r="H634" s="104">
        <f>SUM(G471)</f>
        <v>44147.23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75.28</v>
      </c>
      <c r="H636" s="164">
        <f>SUM(J467)</f>
        <v>75.28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13506.53</v>
      </c>
      <c r="H637" s="164">
        <f>SUM(J471)</f>
        <v>13506.53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100431.93</v>
      </c>
      <c r="H639" s="104">
        <f>SUM(G460)</f>
        <v>100431.93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100431.93</v>
      </c>
      <c r="H641" s="104">
        <f>SUM(I460)</f>
        <v>100431.93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75.28</v>
      </c>
      <c r="H643" s="104">
        <f>H407</f>
        <v>75.28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75.28</v>
      </c>
      <c r="H645" s="104">
        <f>L407</f>
        <v>75.28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51413.14</v>
      </c>
      <c r="H646" s="104">
        <f>L207+L225+L243</f>
        <v>51413.14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29036.21</v>
      </c>
      <c r="H647" s="104">
        <f>(J256+J337)-(J254+J335)</f>
        <v>29036.21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30320.14</v>
      </c>
      <c r="H648" s="104">
        <f>H597</f>
        <v>30320.14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10546.5</v>
      </c>
      <c r="H649" s="104">
        <f>I597</f>
        <v>10546.5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10546.5</v>
      </c>
      <c r="H650" s="104">
        <f>J597</f>
        <v>10546.5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26548.639999999999</v>
      </c>
      <c r="H651" s="104">
        <f>K262+K344</f>
        <v>26548.639999999999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1072.26</v>
      </c>
      <c r="H652" s="104">
        <f>K263</f>
        <v>1072.26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1178705.49</v>
      </c>
      <c r="G659" s="19">
        <f>(L228+L308+L358)</f>
        <v>254435.87000000002</v>
      </c>
      <c r="H659" s="19">
        <f>(L246+L327+L359)</f>
        <v>419081.92</v>
      </c>
      <c r="I659" s="19">
        <f>SUM(F659:H659)</f>
        <v>1852223.28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14121.39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14121.39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30320.14</v>
      </c>
      <c r="G661" s="19">
        <f>(L225+L305)-(J225+J305)</f>
        <v>10546.5</v>
      </c>
      <c r="H661" s="19">
        <f>(L243+L324)-(J243+J324)</f>
        <v>10546.5</v>
      </c>
      <c r="I661" s="19">
        <f>SUM(F661:H661)</f>
        <v>51413.14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29544.54</v>
      </c>
      <c r="G662" s="200">
        <f>SUM(G574:G586)+SUM(I601:I603)+L611</f>
        <v>228093.23</v>
      </c>
      <c r="H662" s="200">
        <f>SUM(H574:H586)+SUM(J601:J603)+L612</f>
        <v>391815.29</v>
      </c>
      <c r="I662" s="19">
        <f>SUM(F662:H662)</f>
        <v>649453.06000000006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1104719.42</v>
      </c>
      <c r="G663" s="19">
        <f>G659-SUM(G660:G662)</f>
        <v>15796.140000000014</v>
      </c>
      <c r="H663" s="19">
        <f>H659-SUM(H660:H662)</f>
        <v>16720.130000000005</v>
      </c>
      <c r="I663" s="19">
        <f>I659-SUM(I660:I662)</f>
        <v>1137235.69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37.619999999999997</v>
      </c>
      <c r="G664" s="249"/>
      <c r="H664" s="249"/>
      <c r="I664" s="19">
        <f>SUM(F664:H664)</f>
        <v>37.619999999999997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29365.22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30229.55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-15796.14</v>
      </c>
      <c r="H668" s="18">
        <v>-16720.099999999999</v>
      </c>
      <c r="I668" s="19">
        <f>SUM(F668:H668)</f>
        <v>-32516.239999999998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29365.22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29365.22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NEWINGTON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319493.67</v>
      </c>
      <c r="C9" s="230">
        <f>'DOE25'!G196+'DOE25'!G214+'DOE25'!G232+'DOE25'!G275+'DOE25'!G294+'DOE25'!G313</f>
        <v>144631.59000000003</v>
      </c>
    </row>
    <row r="10" spans="1:3">
      <c r="A10" t="s">
        <v>779</v>
      </c>
      <c r="B10" s="241">
        <v>309439.35999999999</v>
      </c>
      <c r="C10" s="241">
        <v>139294.68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10054.31</v>
      </c>
      <c r="C12" s="241">
        <v>5336.91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319493.67</v>
      </c>
      <c r="C13" s="232">
        <f>SUM(C10:C12)</f>
        <v>144631.59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65329</v>
      </c>
      <c r="C18" s="230">
        <f>'DOE25'!G197+'DOE25'!G215+'DOE25'!G233+'DOE25'!G276+'DOE25'!G295+'DOE25'!G314</f>
        <v>30914.33</v>
      </c>
    </row>
    <row r="19" spans="1:3">
      <c r="A19" t="s">
        <v>779</v>
      </c>
      <c r="B19" s="241">
        <v>65329</v>
      </c>
      <c r="C19" s="241">
        <v>30914.33</v>
      </c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65329</v>
      </c>
      <c r="C22" s="232">
        <f>SUM(C19:C21)</f>
        <v>30914.33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6637.56</v>
      </c>
      <c r="C36" s="236">
        <f>'DOE25'!G199+'DOE25'!G217+'DOE25'!G235+'DOE25'!G278+'DOE25'!G297+'DOE25'!G316</f>
        <v>3140.96</v>
      </c>
    </row>
    <row r="37" spans="1:3">
      <c r="A37" t="s">
        <v>779</v>
      </c>
      <c r="B37" s="241">
        <v>345</v>
      </c>
      <c r="C37" s="241">
        <v>163.33000000000001</v>
      </c>
    </row>
    <row r="38" spans="1:3">
      <c r="A38" t="s">
        <v>780</v>
      </c>
      <c r="B38" s="241">
        <v>6292.56</v>
      </c>
      <c r="C38" s="241">
        <v>2977.63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6637.56</v>
      </c>
      <c r="C40" s="232">
        <f>SUM(C37:C39)</f>
        <v>3140.96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NEWINGTON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1192294.44</v>
      </c>
      <c r="D5" s="20">
        <f>SUM('DOE25'!L196:L199)+SUM('DOE25'!L214:L217)+SUM('DOE25'!L232:L235)-F5-G5</f>
        <v>1188651.8399999999</v>
      </c>
      <c r="E5" s="244"/>
      <c r="F5" s="256">
        <f>SUM('DOE25'!J196:J199)+SUM('DOE25'!J214:J217)+SUM('DOE25'!J232:J235)</f>
        <v>3308.6</v>
      </c>
      <c r="G5" s="53">
        <f>SUM('DOE25'!K196:K199)+SUM('DOE25'!K214:K217)+SUM('DOE25'!K232:K235)</f>
        <v>334</v>
      </c>
      <c r="H5" s="260"/>
    </row>
    <row r="6" spans="1:9">
      <c r="A6" s="32">
        <v>2100</v>
      </c>
      <c r="B6" t="s">
        <v>801</v>
      </c>
      <c r="C6" s="246">
        <f t="shared" si="0"/>
        <v>51637.45</v>
      </c>
      <c r="D6" s="20">
        <f>'DOE25'!L201+'DOE25'!L219+'DOE25'!L237-F6-G6</f>
        <v>51338.189999999995</v>
      </c>
      <c r="E6" s="244"/>
      <c r="F6" s="256">
        <f>'DOE25'!J201+'DOE25'!J219+'DOE25'!J237</f>
        <v>299.26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36755.600000000006</v>
      </c>
      <c r="D7" s="20">
        <f>'DOE25'!L202+'DOE25'!L220+'DOE25'!L238-F7-G7</f>
        <v>33537.33</v>
      </c>
      <c r="E7" s="244"/>
      <c r="F7" s="256">
        <f>'DOE25'!J202+'DOE25'!J220+'DOE25'!J238</f>
        <v>1637.58</v>
      </c>
      <c r="G7" s="53">
        <f>'DOE25'!K202+'DOE25'!K220+'DOE25'!K238</f>
        <v>1580.69</v>
      </c>
      <c r="H7" s="260"/>
    </row>
    <row r="8" spans="1:9">
      <c r="A8" s="32">
        <v>2300</v>
      </c>
      <c r="B8" t="s">
        <v>802</v>
      </c>
      <c r="C8" s="246">
        <f t="shared" si="0"/>
        <v>85980.67</v>
      </c>
      <c r="D8" s="244"/>
      <c r="E8" s="20">
        <f>'DOE25'!L203+'DOE25'!L221+'DOE25'!L239-F8-G8-D9-D11</f>
        <v>81450.75</v>
      </c>
      <c r="F8" s="256">
        <f>'DOE25'!J203+'DOE25'!J221+'DOE25'!J239</f>
        <v>0</v>
      </c>
      <c r="G8" s="53">
        <f>'DOE25'!K203+'DOE25'!K221+'DOE25'!K239</f>
        <v>4529.92</v>
      </c>
      <c r="H8" s="260"/>
    </row>
    <row r="9" spans="1:9">
      <c r="A9" s="32">
        <v>2310</v>
      </c>
      <c r="B9" t="s">
        <v>818</v>
      </c>
      <c r="C9" s="246">
        <f t="shared" si="0"/>
        <v>16542.689999999999</v>
      </c>
      <c r="D9" s="245">
        <v>16542.689999999999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3250</v>
      </c>
      <c r="D10" s="244"/>
      <c r="E10" s="245">
        <v>3250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55438</v>
      </c>
      <c r="D11" s="245">
        <v>55438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146933.45000000001</v>
      </c>
      <c r="D12" s="20">
        <f>'DOE25'!L204+'DOE25'!L222+'DOE25'!L240-F12-G12</f>
        <v>145871.35</v>
      </c>
      <c r="E12" s="244"/>
      <c r="F12" s="256">
        <f>'DOE25'!J204+'DOE25'!J222+'DOE25'!J240</f>
        <v>292.10000000000002</v>
      </c>
      <c r="G12" s="53">
        <f>'DOE25'!K204+'DOE25'!K222+'DOE25'!K240</f>
        <v>770</v>
      </c>
      <c r="H12" s="260"/>
    </row>
    <row r="13" spans="1:9">
      <c r="A13" s="32">
        <v>2500</v>
      </c>
      <c r="B13" t="s">
        <v>803</v>
      </c>
      <c r="C13" s="246">
        <f t="shared" si="0"/>
        <v>3626.25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3626.25</v>
      </c>
      <c r="H13" s="260"/>
    </row>
    <row r="14" spans="1:9">
      <c r="A14" s="32">
        <v>2600</v>
      </c>
      <c r="B14" t="s">
        <v>832</v>
      </c>
      <c r="C14" s="246">
        <f t="shared" si="0"/>
        <v>98797.84</v>
      </c>
      <c r="D14" s="20">
        <f>'DOE25'!L206+'DOE25'!L224+'DOE25'!L242-F14-G14</f>
        <v>89730.29</v>
      </c>
      <c r="E14" s="244"/>
      <c r="F14" s="256">
        <f>'DOE25'!J206+'DOE25'!J224+'DOE25'!J242</f>
        <v>9067.5499999999993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51413.14</v>
      </c>
      <c r="D15" s="20">
        <f>'DOE25'!L207+'DOE25'!L225+'DOE25'!L243-F15-G15</f>
        <v>51413.14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9325.2000000000007</v>
      </c>
      <c r="D16" s="244"/>
      <c r="E16" s="20">
        <f>'DOE25'!L208+'DOE25'!L226+'DOE25'!L244-F16-G16</f>
        <v>1670.2000000000007</v>
      </c>
      <c r="F16" s="256">
        <f>'DOE25'!J208+'DOE25'!J226+'DOE25'!J244</f>
        <v>7655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1662.12</v>
      </c>
      <c r="D22" s="244"/>
      <c r="E22" s="244"/>
      <c r="F22" s="256">
        <f>'DOE25'!L254+'DOE25'!L335</f>
        <v>1662.12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27204.419999999995</v>
      </c>
      <c r="D29" s="20">
        <f>'DOE25'!L357+'DOE25'!L358+'DOE25'!L359-'DOE25'!I366-F29-G29</f>
        <v>17867.869999999995</v>
      </c>
      <c r="E29" s="244"/>
      <c r="F29" s="256">
        <f>'DOE25'!J357+'DOE25'!J358+'DOE25'!J359</f>
        <v>9336.5499999999993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59331.320000000007</v>
      </c>
      <c r="D31" s="20">
        <f>'DOE25'!L289+'DOE25'!L308+'DOE25'!L327+'DOE25'!L332+'DOE25'!L333+'DOE25'!L334-F31-G31</f>
        <v>52555.200000000004</v>
      </c>
      <c r="E31" s="244"/>
      <c r="F31" s="256">
        <f>'DOE25'!J289+'DOE25'!J308+'DOE25'!J327+'DOE25'!J332+'DOE25'!J333+'DOE25'!J334</f>
        <v>6776.12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1702945.8999999997</v>
      </c>
      <c r="E33" s="247">
        <f>SUM(E5:E31)</f>
        <v>86370.95</v>
      </c>
      <c r="F33" s="247">
        <f>SUM(F5:F31)</f>
        <v>40034.879999999997</v>
      </c>
      <c r="G33" s="247">
        <f>SUM(G5:G31)</f>
        <v>10840.86</v>
      </c>
      <c r="H33" s="247">
        <f>SUM(H5:H31)</f>
        <v>0</v>
      </c>
    </row>
    <row r="35" spans="2:8" ht="12" thickBot="1">
      <c r="B35" s="254" t="s">
        <v>847</v>
      </c>
      <c r="D35" s="255">
        <f>E33</f>
        <v>86370.95</v>
      </c>
      <c r="E35" s="250"/>
    </row>
    <row r="36" spans="2:8" ht="12" thickTop="1">
      <c r="B36" t="s">
        <v>815</v>
      </c>
      <c r="D36" s="20">
        <f>D33</f>
        <v>1702945.8999999997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NEWINGTON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38585.75</v>
      </c>
      <c r="D8" s="95">
        <f>'DOE25'!G9</f>
        <v>14121.39</v>
      </c>
      <c r="E8" s="95">
        <f>'DOE25'!H9</f>
        <v>0</v>
      </c>
      <c r="F8" s="95">
        <f>'DOE25'!I9</f>
        <v>23933.97</v>
      </c>
      <c r="G8" s="95">
        <f>'DOE25'!J9</f>
        <v>100431.93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19617.28</v>
      </c>
      <c r="D11" s="95">
        <f>'DOE25'!G12</f>
        <v>0</v>
      </c>
      <c r="E11" s="95">
        <f>'DOE25'!H12</f>
        <v>1598.56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497.28</v>
      </c>
      <c r="E12" s="95">
        <f>'DOE25'!H13</f>
        <v>5185.0200000000004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730.4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58203.03</v>
      </c>
      <c r="D18" s="41">
        <f>SUM(D8:D17)</f>
        <v>15349.07</v>
      </c>
      <c r="E18" s="41">
        <f>SUM(E8:E17)</f>
        <v>6783.58</v>
      </c>
      <c r="F18" s="41">
        <f>SUM(F8:F17)</f>
        <v>23933.97</v>
      </c>
      <c r="G18" s="41">
        <f>SUM(G8:G17)</f>
        <v>100431.93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1598.56</v>
      </c>
      <c r="D21" s="95">
        <f>'DOE25'!G22</f>
        <v>14432.26</v>
      </c>
      <c r="E21" s="95">
        <f>'DOE25'!H22</f>
        <v>5185.0200000000004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2931.11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416.18</v>
      </c>
      <c r="D23" s="95">
        <f>'DOE25'!G24</f>
        <v>186.41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3497.17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1000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9443.02</v>
      </c>
      <c r="D31" s="41">
        <f>SUM(D21:D30)</f>
        <v>14618.67</v>
      </c>
      <c r="E31" s="41">
        <f>SUM(E21:E30)</f>
        <v>5185.0200000000004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730.4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5217.2299999999996</v>
      </c>
      <c r="D46" s="95">
        <f>'DOE25'!G47</f>
        <v>0</v>
      </c>
      <c r="E46" s="95">
        <f>'DOE25'!H47</f>
        <v>1598.56</v>
      </c>
      <c r="F46" s="95">
        <f>'DOE25'!I47</f>
        <v>23933.97</v>
      </c>
      <c r="G46" s="95">
        <f>'DOE25'!J47</f>
        <v>100431.93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43542.78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48760.009999999995</v>
      </c>
      <c r="D49" s="41">
        <f>SUM(D34:D48)</f>
        <v>730.4</v>
      </c>
      <c r="E49" s="41">
        <f>SUM(E34:E48)</f>
        <v>1598.56</v>
      </c>
      <c r="F49" s="41">
        <f>SUM(F34:F48)</f>
        <v>23933.97</v>
      </c>
      <c r="G49" s="41">
        <f>SUM(G34:G48)</f>
        <v>100431.93</v>
      </c>
      <c r="H49" s="124"/>
      <c r="I49" s="124"/>
    </row>
    <row r="50" spans="1:9" ht="12" thickTop="1">
      <c r="A50" s="38" t="s">
        <v>895</v>
      </c>
      <c r="B50" s="2"/>
      <c r="C50" s="41">
        <f>C49+C31</f>
        <v>58203.03</v>
      </c>
      <c r="D50" s="41">
        <f>D49+D31</f>
        <v>15349.07</v>
      </c>
      <c r="E50" s="41">
        <f>E49+E31</f>
        <v>6783.58</v>
      </c>
      <c r="F50" s="41">
        <f>F49+F31</f>
        <v>23933.97</v>
      </c>
      <c r="G50" s="41">
        <f>G49+G31</f>
        <v>100431.93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485518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10150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148.9</v>
      </c>
      <c r="D58" s="95">
        <f>'DOE25'!G95</f>
        <v>0</v>
      </c>
      <c r="E58" s="95">
        <f>'DOE25'!H95</f>
        <v>0</v>
      </c>
      <c r="F58" s="95">
        <f>'DOE25'!I95</f>
        <v>17.940000000000001</v>
      </c>
      <c r="G58" s="95">
        <f>'DOE25'!J95</f>
        <v>75.28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14121.39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11053.39</v>
      </c>
      <c r="D60" s="95">
        <f>SUM('DOE25'!G97:G109)</f>
        <v>0</v>
      </c>
      <c r="E60" s="95">
        <f>SUM('DOE25'!H97:H109)</f>
        <v>13409.9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21352.29</v>
      </c>
      <c r="D61" s="130">
        <f>SUM(D56:D60)</f>
        <v>14121.39</v>
      </c>
      <c r="E61" s="130">
        <f>SUM(E56:E60)</f>
        <v>13409.9</v>
      </c>
      <c r="F61" s="130">
        <f>SUM(F56:F60)</f>
        <v>17.940000000000001</v>
      </c>
      <c r="G61" s="130">
        <f>SUM(G56:G60)</f>
        <v>75.28</v>
      </c>
      <c r="H61"/>
      <c r="I61"/>
    </row>
    <row r="62" spans="1:9" ht="12" thickTop="1">
      <c r="A62" s="29" t="s">
        <v>175</v>
      </c>
      <c r="B62" s="6"/>
      <c r="C62" s="22">
        <f>C55+C61</f>
        <v>506870.29</v>
      </c>
      <c r="D62" s="22">
        <f>D55+D61</f>
        <v>14121.39</v>
      </c>
      <c r="E62" s="22">
        <f>E55+E61</f>
        <v>13409.9</v>
      </c>
      <c r="F62" s="22">
        <f>F55+F61</f>
        <v>17.940000000000001</v>
      </c>
      <c r="G62" s="22">
        <f>G55+G61</f>
        <v>75.28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1182540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1182540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1563.4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1563.4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1182540</v>
      </c>
      <c r="D80" s="130">
        <f>SUM(D78:D79)+D77+D69</f>
        <v>1563.4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1029.78</v>
      </c>
      <c r="D87" s="95">
        <f>SUM('DOE25'!G152:G160)</f>
        <v>1913.8</v>
      </c>
      <c r="E87" s="95">
        <f>SUM('DOE25'!H152:H160)</f>
        <v>39093.279999999999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1029.78</v>
      </c>
      <c r="D90" s="131">
        <f>SUM(D84:D89)</f>
        <v>1913.8</v>
      </c>
      <c r="E90" s="131">
        <f>SUM(E84:E89)</f>
        <v>39093.279999999999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26548.639999999999</v>
      </c>
      <c r="E95" s="95">
        <f>'DOE25'!H178</f>
        <v>1072.26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26548.639999999999</v>
      </c>
      <c r="E102" s="86">
        <f>SUM(E92:E101)</f>
        <v>1072.26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1690440.07</v>
      </c>
      <c r="D103" s="86">
        <f>D62+D80+D90+D102</f>
        <v>44147.229999999996</v>
      </c>
      <c r="E103" s="86">
        <f>E62+E80+E90+E102</f>
        <v>53575.44</v>
      </c>
      <c r="F103" s="86">
        <f>F62+F80+F90+F102</f>
        <v>17.940000000000001</v>
      </c>
      <c r="G103" s="86">
        <f>G62+G80+G102</f>
        <v>75.28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1073411.8999999999</v>
      </c>
      <c r="D108" s="24" t="s">
        <v>289</v>
      </c>
      <c r="E108" s="95">
        <f>('DOE25'!L275)+('DOE25'!L294)+('DOE25'!L313)</f>
        <v>22979.309999999998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104516.18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14366.359999999999</v>
      </c>
      <c r="D111" s="24" t="s">
        <v>289</v>
      </c>
      <c r="E111" s="95">
        <f>+('DOE25'!L278)+('DOE25'!L297)+('DOE25'!L316)</f>
        <v>9258.130000000001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1192294.44</v>
      </c>
      <c r="D114" s="86">
        <f>SUM(D108:D113)</f>
        <v>0</v>
      </c>
      <c r="E114" s="86">
        <f>SUM(E108:E113)</f>
        <v>32237.439999999999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51637.45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36755.600000000006</v>
      </c>
      <c r="D118" s="24" t="s">
        <v>289</v>
      </c>
      <c r="E118" s="95">
        <f>+('DOE25'!L281)+('DOE25'!L300)+('DOE25'!L319)</f>
        <v>16941.830000000002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157961.36000000002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146933.45000000001</v>
      </c>
      <c r="D120" s="24" t="s">
        <v>289</v>
      </c>
      <c r="E120" s="95">
        <f>+('DOE25'!L283)+('DOE25'!L302)+('DOE25'!L321)</f>
        <v>3924.58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3626.25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98797.84</v>
      </c>
      <c r="D122" s="24" t="s">
        <v>289</v>
      </c>
      <c r="E122" s="95">
        <f>+('DOE25'!L285)+('DOE25'!L304)+('DOE25'!L323)</f>
        <v>374.44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51413.14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9325.2000000000007</v>
      </c>
      <c r="D124" s="24" t="s">
        <v>289</v>
      </c>
      <c r="E124" s="95">
        <f>+('DOE25'!L287)+('DOE25'!L306)+('DOE25'!L325)</f>
        <v>5853.03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44147.229999999996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556450.29</v>
      </c>
      <c r="D127" s="86">
        <f>SUM(D117:D126)</f>
        <v>44147.229999999996</v>
      </c>
      <c r="E127" s="86">
        <f>SUM(E117:E126)</f>
        <v>27093.88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1662.12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26548.639999999999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1072.26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75.28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-75.28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29283.019999999997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1778027.75</v>
      </c>
      <c r="D144" s="86">
        <f>(D114+D127+D143)</f>
        <v>44147.229999999996</v>
      </c>
      <c r="E144" s="86">
        <f>(E114+E127+E143)</f>
        <v>59331.32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NEWINGTON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29365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29365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1096391</v>
      </c>
      <c r="D10" s="182">
        <f>ROUND((C10/$C$28)*100,1)</f>
        <v>59.6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104516</v>
      </c>
      <c r="D11" s="182">
        <f>ROUND((C11/$C$28)*100,1)</f>
        <v>5.7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23624</v>
      </c>
      <c r="D13" s="182">
        <f>ROUND((C13/$C$28)*100,1)</f>
        <v>1.3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51637</v>
      </c>
      <c r="D15" s="182">
        <f t="shared" ref="D15:D27" si="0">ROUND((C15/$C$28)*100,1)</f>
        <v>2.8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53697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173140</v>
      </c>
      <c r="D17" s="182">
        <f t="shared" si="0"/>
        <v>9.4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150858</v>
      </c>
      <c r="D18" s="182">
        <f t="shared" si="0"/>
        <v>8.1999999999999993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3626</v>
      </c>
      <c r="D19" s="182">
        <f t="shared" si="0"/>
        <v>0.2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99172</v>
      </c>
      <c r="D20" s="182">
        <f t="shared" si="0"/>
        <v>5.4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51413</v>
      </c>
      <c r="D21" s="182">
        <f t="shared" si="0"/>
        <v>2.8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30025.61</v>
      </c>
      <c r="D27" s="182">
        <f t="shared" si="0"/>
        <v>1.6</v>
      </c>
    </row>
    <row r="28" spans="1:4">
      <c r="B28" s="187" t="s">
        <v>723</v>
      </c>
      <c r="C28" s="180">
        <f>SUM(C10:C27)</f>
        <v>1838099.61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1662</v>
      </c>
    </row>
    <row r="30" spans="1:4">
      <c r="B30" s="187" t="s">
        <v>729</v>
      </c>
      <c r="C30" s="180">
        <f>SUM(C28:C29)</f>
        <v>1839761.61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485518</v>
      </c>
      <c r="D35" s="182">
        <f t="shared" ref="D35:D40" si="1">ROUND((C35/$C$41)*100,1)</f>
        <v>27.8</v>
      </c>
    </row>
    <row r="36" spans="1:4">
      <c r="B36" s="185" t="s">
        <v>743</v>
      </c>
      <c r="C36" s="179">
        <f>SUM('DOE25'!F111:J111)-SUM('DOE25'!G96:G109)+('DOE25'!F173+'DOE25'!F174+'DOE25'!I173+'DOE25'!I174)-C35</f>
        <v>34855.409999999916</v>
      </c>
      <c r="D36" s="182">
        <f t="shared" si="1"/>
        <v>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1182540</v>
      </c>
      <c r="D37" s="182">
        <f t="shared" si="1"/>
        <v>67.7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1563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42037</v>
      </c>
      <c r="D39" s="182">
        <f t="shared" si="1"/>
        <v>2.4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1746513.41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NEWINGTON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AP38:AZ38"/>
    <mergeCell ref="P39:Z39"/>
    <mergeCell ref="AC39:AM39"/>
    <mergeCell ref="AP39:AZ3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A2:E2"/>
    <mergeCell ref="C13:M13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19:M19"/>
    <mergeCell ref="C20:M20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61:M61"/>
    <mergeCell ref="C53:M53"/>
    <mergeCell ref="C54:M54"/>
    <mergeCell ref="C55:M55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2012-07-31T14:25:36Z</cp:lastPrinted>
  <dcterms:created xsi:type="dcterms:W3CDTF">1997-12-04T19:04:30Z</dcterms:created>
  <dcterms:modified xsi:type="dcterms:W3CDTF">2012-11-21T15:07:03Z</dcterms:modified>
</cp:coreProperties>
</file>