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E49" i="2" s="1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 s="1"/>
  <c r="L235" i="1"/>
  <c r="C111" i="2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D14" i="13" s="1"/>
  <c r="C14" i="13" s="1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F661" i="1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C12" i="10" s="1"/>
  <c r="L316" i="1"/>
  <c r="E111" i="2" s="1"/>
  <c r="L318" i="1"/>
  <c r="L319" i="1"/>
  <c r="E118" i="2" s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D84" i="2" s="1"/>
  <c r="D90" i="2" s="1"/>
  <c r="G161" i="1"/>
  <c r="H146" i="1"/>
  <c r="H161" i="1"/>
  <c r="I146" i="1"/>
  <c r="I161" i="1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G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E18" i="2" s="1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C31" i="2" s="1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E101" i="2"/>
  <c r="F101" i="2"/>
  <c r="C109" i="2"/>
  <c r="C112" i="2"/>
  <c r="E112" i="2"/>
  <c r="C113" i="2"/>
  <c r="E113" i="2"/>
  <c r="D114" i="2"/>
  <c r="F114" i="2"/>
  <c r="G114" i="2"/>
  <c r="C124" i="2"/>
  <c r="E124" i="2"/>
  <c r="F127" i="2"/>
  <c r="G127" i="2"/>
  <c r="C129" i="2"/>
  <c r="E129" i="2"/>
  <c r="F129" i="2"/>
  <c r="D133" i="2"/>
  <c r="D14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G50" i="1"/>
  <c r="G622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G639" i="1" s="1"/>
  <c r="H445" i="1"/>
  <c r="F451" i="1"/>
  <c r="G451" i="1"/>
  <c r="G460" i="1" s="1"/>
  <c r="H639" i="1" s="1"/>
  <c r="H451" i="1"/>
  <c r="F459" i="1"/>
  <c r="F460" i="1" s="1"/>
  <c r="H638" i="1" s="1"/>
  <c r="G459" i="1"/>
  <c r="H459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J618" i="1" s="1"/>
  <c r="G619" i="1"/>
  <c r="J619" i="1" s="1"/>
  <c r="G621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40" i="1"/>
  <c r="H640" i="1"/>
  <c r="G642" i="1"/>
  <c r="H642" i="1"/>
  <c r="G643" i="1"/>
  <c r="G648" i="1"/>
  <c r="G649" i="1"/>
  <c r="H649" i="1"/>
  <c r="J649" i="1" s="1"/>
  <c r="G651" i="1"/>
  <c r="H651" i="1"/>
  <c r="G652" i="1"/>
  <c r="H652" i="1"/>
  <c r="J652" i="1" s="1"/>
  <c r="G653" i="1"/>
  <c r="H653" i="1"/>
  <c r="J653" i="1" s="1"/>
  <c r="H654" i="1"/>
  <c r="F191" i="1"/>
  <c r="L255" i="1"/>
  <c r="G163" i="2"/>
  <c r="G159" i="2"/>
  <c r="F31" i="2"/>
  <c r="C26" i="10"/>
  <c r="G161" i="2"/>
  <c r="D18" i="13"/>
  <c r="C18" i="13" s="1"/>
  <c r="F102" i="2"/>
  <c r="D17" i="13"/>
  <c r="C17" i="13" s="1"/>
  <c r="G158" i="2"/>
  <c r="C90" i="2"/>
  <c r="G80" i="2"/>
  <c r="F77" i="2"/>
  <c r="F80" i="2" s="1"/>
  <c r="F61" i="2"/>
  <c r="F62" i="2" s="1"/>
  <c r="G156" i="2"/>
  <c r="F49" i="2"/>
  <c r="F50" i="2" s="1"/>
  <c r="F18" i="2"/>
  <c r="G162" i="2"/>
  <c r="G160" i="2"/>
  <c r="G157" i="2"/>
  <c r="G155" i="2"/>
  <c r="E102" i="2"/>
  <c r="F90" i="2"/>
  <c r="E61" i="2"/>
  <c r="E62" i="2" s="1"/>
  <c r="E31" i="2"/>
  <c r="D19" i="13"/>
  <c r="C19" i="13" s="1"/>
  <c r="I459" i="1" l="1"/>
  <c r="G168" i="1"/>
  <c r="D49" i="2"/>
  <c r="D50" i="2" s="1"/>
  <c r="C69" i="2"/>
  <c r="L533" i="1"/>
  <c r="L528" i="1"/>
  <c r="F544" i="1"/>
  <c r="L523" i="1"/>
  <c r="K433" i="1"/>
  <c r="G133" i="2" s="1"/>
  <c r="G143" i="2" s="1"/>
  <c r="G144" i="2" s="1"/>
  <c r="G433" i="1"/>
  <c r="L350" i="1"/>
  <c r="I662" i="1"/>
  <c r="E133" i="2"/>
  <c r="E143" i="2" s="1"/>
  <c r="J651" i="1"/>
  <c r="D18" i="2"/>
  <c r="G51" i="1"/>
  <c r="H617" i="1" s="1"/>
  <c r="J617" i="1" s="1"/>
  <c r="G644" i="1"/>
  <c r="I451" i="1"/>
  <c r="I460" i="1" s="1"/>
  <c r="H641" i="1" s="1"/>
  <c r="I445" i="1"/>
  <c r="G641" i="1" s="1"/>
  <c r="G407" i="1"/>
  <c r="H644" i="1" s="1"/>
  <c r="E90" i="2"/>
  <c r="E103" i="2" s="1"/>
  <c r="I368" i="1"/>
  <c r="H633" i="1" s="1"/>
  <c r="J633" i="1" s="1"/>
  <c r="H660" i="1"/>
  <c r="D126" i="2"/>
  <c r="D127" i="2" s="1"/>
  <c r="D144" i="2" s="1"/>
  <c r="G660" i="1"/>
  <c r="L361" i="1"/>
  <c r="D29" i="13"/>
  <c r="C29" i="13" s="1"/>
  <c r="C77" i="2"/>
  <c r="F139" i="1"/>
  <c r="C61" i="2"/>
  <c r="C62" i="2" s="1"/>
  <c r="F51" i="1"/>
  <c r="H616" i="1" s="1"/>
  <c r="J616" i="1" s="1"/>
  <c r="C18" i="2"/>
  <c r="E122" i="2"/>
  <c r="E121" i="2"/>
  <c r="C18" i="10"/>
  <c r="E120" i="2"/>
  <c r="E119" i="2"/>
  <c r="E117" i="2"/>
  <c r="E110" i="2"/>
  <c r="L327" i="1"/>
  <c r="C11" i="10"/>
  <c r="G31" i="13"/>
  <c r="G33" i="13" s="1"/>
  <c r="I337" i="1"/>
  <c r="I351" i="1" s="1"/>
  <c r="E108" i="2"/>
  <c r="E123" i="2"/>
  <c r="C21" i="10"/>
  <c r="C20" i="10"/>
  <c r="C17" i="10"/>
  <c r="C16" i="10"/>
  <c r="K337" i="1"/>
  <c r="K351" i="1" s="1"/>
  <c r="E109" i="2"/>
  <c r="L289" i="1"/>
  <c r="F31" i="13"/>
  <c r="J337" i="1"/>
  <c r="J351" i="1" s="1"/>
  <c r="G650" i="1"/>
  <c r="J650" i="1" s="1"/>
  <c r="H646" i="1"/>
  <c r="H661" i="1"/>
  <c r="I661" i="1" s="1"/>
  <c r="C123" i="2"/>
  <c r="D15" i="13"/>
  <c r="C15" i="13" s="1"/>
  <c r="C122" i="2"/>
  <c r="C19" i="10"/>
  <c r="L246" i="1"/>
  <c r="C15" i="10"/>
  <c r="D6" i="13"/>
  <c r="C6" i="13" s="1"/>
  <c r="C13" i="10"/>
  <c r="K256" i="1"/>
  <c r="K270" i="1" s="1"/>
  <c r="I256" i="1"/>
  <c r="I270" i="1" s="1"/>
  <c r="G256" i="1"/>
  <c r="G270" i="1" s="1"/>
  <c r="C108" i="2"/>
  <c r="C114" i="2" s="1"/>
  <c r="F256" i="1"/>
  <c r="F270" i="1" s="1"/>
  <c r="E13" i="13"/>
  <c r="C13" i="13" s="1"/>
  <c r="C121" i="2"/>
  <c r="D12" i="13"/>
  <c r="C12" i="13" s="1"/>
  <c r="C120" i="2"/>
  <c r="E8" i="13"/>
  <c r="C8" i="13" s="1"/>
  <c r="C119" i="2"/>
  <c r="D7" i="13"/>
  <c r="C7" i="13" s="1"/>
  <c r="C118" i="2"/>
  <c r="C117" i="2"/>
  <c r="A22" i="12"/>
  <c r="L210" i="1"/>
  <c r="C10" i="10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H192" i="1" s="1"/>
  <c r="G628" i="1" s="1"/>
  <c r="J628" i="1" s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551" i="1"/>
  <c r="H551" i="1"/>
  <c r="C29" i="10"/>
  <c r="H139" i="1"/>
  <c r="L400" i="1"/>
  <c r="C138" i="2" s="1"/>
  <c r="L392" i="1"/>
  <c r="A13" i="12"/>
  <c r="F22" i="13"/>
  <c r="H25" i="13"/>
  <c r="J639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J50" i="1"/>
  <c r="L564" i="1"/>
  <c r="L570" i="1" s="1"/>
  <c r="G544" i="1"/>
  <c r="H544" i="1"/>
  <c r="K550" i="1"/>
  <c r="F143" i="2"/>
  <c r="F144" i="2" s="1"/>
  <c r="L544" i="1" l="1"/>
  <c r="K551" i="1"/>
  <c r="L433" i="1"/>
  <c r="G637" i="1" s="1"/>
  <c r="J637" i="1" s="1"/>
  <c r="J641" i="1"/>
  <c r="G50" i="2"/>
  <c r="C39" i="10"/>
  <c r="I660" i="1"/>
  <c r="C27" i="10"/>
  <c r="C28" i="10" s="1"/>
  <c r="D27" i="10" s="1"/>
  <c r="G634" i="1"/>
  <c r="J634" i="1" s="1"/>
  <c r="C38" i="10"/>
  <c r="C103" i="2"/>
  <c r="C36" i="10"/>
  <c r="F192" i="1"/>
  <c r="G626" i="1" s="1"/>
  <c r="J626" i="1" s="1"/>
  <c r="E127" i="2"/>
  <c r="H659" i="1"/>
  <c r="H663" i="1" s="1"/>
  <c r="H666" i="1" s="1"/>
  <c r="E114" i="2"/>
  <c r="F659" i="1"/>
  <c r="F663" i="1" s="1"/>
  <c r="F671" i="1" s="1"/>
  <c r="C4" i="10" s="1"/>
  <c r="H647" i="1"/>
  <c r="J647" i="1" s="1"/>
  <c r="J646" i="1"/>
  <c r="C127" i="2"/>
  <c r="J270" i="1"/>
  <c r="L256" i="1"/>
  <c r="L270" i="1" s="1"/>
  <c r="G631" i="1" s="1"/>
  <c r="J631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66" i="1" l="1"/>
  <c r="C41" i="10"/>
  <c r="D39" i="10" s="1"/>
  <c r="E144" i="2"/>
  <c r="H671" i="1"/>
  <c r="C6" i="10" s="1"/>
  <c r="C144" i="2"/>
  <c r="D11" i="10"/>
  <c r="D20" i="10"/>
  <c r="C30" i="10"/>
  <c r="D13" i="10"/>
  <c r="D18" i="10"/>
  <c r="D10" i="10"/>
  <c r="D19" i="10"/>
  <c r="D12" i="10"/>
  <c r="D26" i="10"/>
  <c r="D21" i="10"/>
  <c r="D16" i="10"/>
  <c r="D23" i="10"/>
  <c r="D22" i="10"/>
  <c r="D24" i="10"/>
  <c r="D25" i="10"/>
  <c r="D15" i="10"/>
  <c r="D17" i="10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40" i="10"/>
  <c r="D35" i="10"/>
  <c r="D38" i="10"/>
  <c r="D37" i="10"/>
  <c r="D36" i="10"/>
  <c r="D28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<sst xmlns="http://schemas.openxmlformats.org/spreadsheetml/2006/main" count="3944" uniqueCount="911">
  <si>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</si>
  <si>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</si>
  <si>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</si>
  <si>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</si>
  <si>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</si>
  <si>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</si>
  <si>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</si>
  <si>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</si>
  <si>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</si>
  <si>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</si>
  <si>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</si>
  <si>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</si>
  <si>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</si>
  <si>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</si>
  <si>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</si>
  <si>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</si>
  <si>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</si>
  <si>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</si>
  <si>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</si>
  <si>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</si>
  <si>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</si>
  <si>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</si>
  <si>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</si>
  <si>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</si>
  <si>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</si>
  <si>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</si>
  <si>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</si>
  <si>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</si>
  <si>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</si>
  <si>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</si>
  <si>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</si>
  <si>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</si>
  <si>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</si>
  <si>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</si>
  <si>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</si>
  <si>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</si>
  <si>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</si>
  <si>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</si>
  <si>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</si>
  <si>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</si>
  <si>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</si>
  <si>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</si>
  <si>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</si>
  <si>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</si>
  <si>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</si>
  <si>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</si>
  <si>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</si>
  <si>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</si>
  <si>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</si>
  <si>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</si>
  <si>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</si>
  <si>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</si>
  <si>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</si>
  <si>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</si>
  <si>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</si>
  <si>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</si>
  <si>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</si>
  <si>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</si>
  <si>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</si>
  <si>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</si>
  <si>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</si>
  <si>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</si>
  <si>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</si>
  <si>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</si>
  <si>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</si>
  <si>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</si>
  <si>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</si>
  <si>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</si>
  <si>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</si>
  <si>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</si>
  <si>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</si>
  <si>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</si>
  <si>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</si>
  <si>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</si>
  <si>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</si>
  <si>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</si>
  <si>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</si>
  <si>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</si>
  <si>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</si>
  <si>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</si>
  <si>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</si>
  <si>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</si>
  <si>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</si>
  <si>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</si>
  <si>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</si>
  <si>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</si>
  <si>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</si>
  <si>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</si>
  <si>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</si>
  <si>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</si>
  <si>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</si>
  <si>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</si>
  <si>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</si>
  <si>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</si>
  <si>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</si>
  <si>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</si>
  <si>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</si>
  <si>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</si>
  <si>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</si>
  <si>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</si>
  <si>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</si>
  <si>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</si>
  <si>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</si>
  <si>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</si>
  <si>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</si>
  <si>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</si>
  <si>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</si>
  <si>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</si>
  <si>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</si>
  <si>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</si>
  <si>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</si>
  <si>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</si>
  <si>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</si>
  <si>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</si>
  <si>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</si>
  <si>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</si>
  <si>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</si>
  <si>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</si>
  <si>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</si>
  <si>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</si>
  <si>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</si>
  <si>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</si>
  <si>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</si>
  <si>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</si>
  <si>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</si>
  <si>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</si>
  <si>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</si>
  <si>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</si>
  <si>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</si>
  <si>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</si>
  <si>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</si>
  <si>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</si>
  <si>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</si>
  <si>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</si>
  <si>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</si>
  <si>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</si>
  <si>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</si>
  <si>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</si>
  <si>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</si>
  <si>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</si>
  <si>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</si>
  <si>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</si>
  <si>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</si>
  <si>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</si>
  <si>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</si>
  <si>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</si>
  <si>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</si>
  <si>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</si>
  <si>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</si>
  <si>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</si>
  <si>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</si>
  <si>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</si>
  <si>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</si>
  <si>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</si>
  <si>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</si>
  <si>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</si>
  <si>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</si>
  <si>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</si>
  <si>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</si>
  <si>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</si>
  <si>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</si>
  <si>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</si>
  <si>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</si>
  <si>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</si>
  <si>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</si>
  <si>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</si>
  <si>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</si>
  <si>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</si>
  <si>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</si>
  <si>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</si>
  <si>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</si>
  <si>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</si>
  <si>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</si>
  <si>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</si>
  <si>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</si>
  <si>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</si>
  <si>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</si>
  <si>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</si>
  <si>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</si>
  <si>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</si>
  <si>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</si>
  <si>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</si>
  <si>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</si>
  <si>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</si>
  <si>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</si>
  <si>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</si>
  <si>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</si>
  <si>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</si>
  <si>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</si>
  <si>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</si>
  <si>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</si>
  <si>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</si>
  <si>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</si>
  <si>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</si>
  <si>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</si>
  <si>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</si>
  <si>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</si>
  <si>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</si>
  <si>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</si>
  <si>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</si>
  <si>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</si>
  <si>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</si>
  <si>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</si>
  <si>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</si>
  <si>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</si>
  <si>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</si>
  <si>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</si>
  <si>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</si>
  <si>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</si>
  <si>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</si>
  <si>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</si>
  <si>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</si>
  <si>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</si>
  <si>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</si>
  <si>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</si>
  <si>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</si>
  <si>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</si>
  <si>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</si>
  <si>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</si>
  <si>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</si>
  <si>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</si>
  <si>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</si>
  <si>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</si>
  <si>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</si>
  <si>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</si>
  <si>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</si>
  <si>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</si>
  <si>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</si>
  <si>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</si>
  <si>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</si>
  <si>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</si>
  <si>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</si>
  <si>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</si>
  <si>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</si>
  <si>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</si>
  <si>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</si>
  <si>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</si>
  <si>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</si>
  <si>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</si>
  <si>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</si>
  <si>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</si>
  <si>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</si>
  <si>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</si>
  <si>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</si>
  <si>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</si>
  <si>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</si>
  <si>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</si>
  <si>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</si>
  <si>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</si>
  <si>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</si>
  <si>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</si>
  <si>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</si>
  <si>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</si>
  <si>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</si>
  <si>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</si>
  <si>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</si>
  <si>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</si>
  <si>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</si>
  <si>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</si>
  <si>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</si>
  <si>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</si>
  <si>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</si>
  <si>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</si>
  <si>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</si>
  <si>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</si>
  <si>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</si>
  <si>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</si>
  <si>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</si>
  <si>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</si>
  <si>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</si>
  <si>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</si>
  <si>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</si>
  <si>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</si>
  <si>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</si>
  <si>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</si>
  <si>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</si>
  <si>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</si>
  <si>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</si>
  <si>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</si>
  <si>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</si>
  <si>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</si>
  <si>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</si>
  <si>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</si>
  <si>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</si>
  <si>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</si>
  <si>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</si>
  <si>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</si>
  <si>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</si>
  <si>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</si>
  <si>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</si>
  <si>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</si>
  <si>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</si>
  <si>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</si>
  <si>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</si>
  <si>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</si>
  <si>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</si>
  <si>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</si>
  <si>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</si>
  <si>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</si>
  <si>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</si>
  <si>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</si>
  <si>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</si>
  <si>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</si>
  <si>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</si>
  <si>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</si>
  <si>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</si>
  <si>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</si>
  <si>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</si>
  <si>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</si>
  <si>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</si>
  <si>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</si>
  <si>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</si>
  <si>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</si>
  <si>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</si>
  <si>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</si>
  <si>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</si>
  <si>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</si>
  <si>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</si>
  <si>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</si>
  <si>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</si>
  <si>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</si>
  <si>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</si>
  <si>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</si>
  <si>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</si>
  <si>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</si>
  <si>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</si>
  <si>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</si>
  <si>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</si>
  <si>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</si>
  <si>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</si>
  <si>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</si>
  <si>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</si>
  <si>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</si>
  <si>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</si>
  <si>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</si>
  <si>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</si>
  <si>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</si>
  <si>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</si>
  <si>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</si>
  <si>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</si>
  <si>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</si>
  <si>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</si>
  <si>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</si>
  <si>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</si>
  <si>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</si>
  <si>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</si>
  <si>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</si>
  <si>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</si>
  <si>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</si>
  <si>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</si>
  <si>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</si>
  <si>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</si>
  <si>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</si>
  <si>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</si>
  <si>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</si>
  <si>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</si>
  <si>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</si>
  <si>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</si>
  <si>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</si>
  <si>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</si>
  <si>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</si>
  <si>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</si>
  <si>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</si>
  <si>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</si>
  <si>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</si>
  <si>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</si>
  <si>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</si>
  <si>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</si>
  <si>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</si>
  <si>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</si>
  <si>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</si>
  <si>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</si>
  <si>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</si>
  <si>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</si>
  <si>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</si>
  <si>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</si>
  <si>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</si>
  <si>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</si>
  <si>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</si>
  <si>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</si>
  <si>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</si>
  <si>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</si>
  <si>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</si>
  <si>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</si>
  <si>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</si>
  <si>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</si>
  <si>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</si>
  <si>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</si>
  <si>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</si>
  <si>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</si>
  <si>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</si>
  <si>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</si>
  <si>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</si>
  <si>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</si>
  <si>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</si>
  <si>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</si>
  <si>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</si>
  <si>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</si>
  <si>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</si>
  <si>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</si>
  <si>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</si>
  <si>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</si>
  <si>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</si>
  <si>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</si>
  <si>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</si>
  <si>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</si>
  <si>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</si>
  <si>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</si>
  <si>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</si>
  <si>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</si>
  <si>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</si>
  <si>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</si>
  <si>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</si>
  <si>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</si>
  <si>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</si>
  <si>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</si>
  <si>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</si>
  <si>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</si>
  <si>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</si>
  <si>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</si>
  <si>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</si>
  <si>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</si>
  <si>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</si>
  <si>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</si>
  <si>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</si>
  <si>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</si>
  <si>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</si>
  <si>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</si>
  <si>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</si>
  <si>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</si>
  <si>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</si>
  <si>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</si>
  <si>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</si>
  <si>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</si>
  <si>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</si>
  <si>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</si>
  <si>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</si>
  <si>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</si>
  <si>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</si>
  <si>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</si>
  <si>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</si>
  <si>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</si>
  <si>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</si>
  <si>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</si>
  <si>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</si>
  <si>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</si>
  <si>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</si>
  <si>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</si>
  <si>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</si>
  <si>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</si>
  <si>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</si>
  <si>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</si>
  <si>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</si>
  <si>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</si>
  <si>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</si>
  <si>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</si>
  <si>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</si>
  <si>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</si>
  <si>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</si>
  <si>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</si>
  <si>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</si>
  <si>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</si>
  <si>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</si>
  <si>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</si>
  <si>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</si>
  <si>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</si>
  <si>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</si>
  <si>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</si>
  <si>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</si>
  <si>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</si>
  <si>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</si>
  <si>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</si>
  <si>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</si>
  <si>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</si>
  <si>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</si>
  <si>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</si>
  <si>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</si>
  <si>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</si>
  <si>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</si>
  <si>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</si>
  <si>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</si>
  <si>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</si>
  <si>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</si>
  <si>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</si>
  <si>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</si>
  <si>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</si>
  <si>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</si>
  <si>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</si>
  <si>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</si>
  <si>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</si>
  <si>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</si>
  <si>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</si>
  <si>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</si>
  <si>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</si>
  <si>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</si>
  <si>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</si>
  <si>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</si>
  <si>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</si>
  <si>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</si>
  <si>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</si>
  <si>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</si>
  <si>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</si>
  <si>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</si>
  <si>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</si>
  <si>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</si>
  <si>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</si>
  <si>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</si>
  <si>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</si>
  <si>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</si>
  <si>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</si>
  <si>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</si>
  <si>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</si>
  <si>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</si>
  <si>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</si>
  <si>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</si>
  <si>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</si>
  <si>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</si>
  <si>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</si>
  <si>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</si>
  <si>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</si>
  <si>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</si>
  <si>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</si>
  <si>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</si>
  <si>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</si>
  <si>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</si>
  <si>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</si>
  <si>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</si>
  <si>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</si>
  <si>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</si>
  <si>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</si>
  <si>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</si>
  <si>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</si>
  <si>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</si>
  <si>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</si>
  <si>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</si>
  <si>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</si>
  <si>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</si>
  <si>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</si>
  <si>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</si>
  <si>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</si>
  <si>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</si>
  <si>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</si>
  <si>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</si>
  <si>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</si>
  <si>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</si>
  <si>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</si>
  <si>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</si>
  <si>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</si>
  <si>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</si>
  <si>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</si>
  <si>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</si>
  <si>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</si>
  <si>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</si>
  <si>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</si>
  <si>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</si>
  <si>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</si>
  <si>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</si>
  <si>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</si>
  <si>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</si>
  <si>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</si>
  <si>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</si>
  <si>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</si>
  <si>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</si>
  <si>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</si>
  <si>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</si>
  <si>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</si>
  <si>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</si>
  <si>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</si>
  <si>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</si>
  <si>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</si>
  <si>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</si>
  <si>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</si>
  <si>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</si>
  <si>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</si>
  <si>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</si>
  <si>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</si>
  <si>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</si>
  <si>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</si>
  <si>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</si>
  <si>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</si>
  <si>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</si>
  <si>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</si>
  <si>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</si>
  <si>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</si>
  <si>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</si>
  <si>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</si>
  <si>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</si>
  <si>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</si>
  <si>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</si>
  <si>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</si>
  <si>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</si>
  <si>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</si>
  <si>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</si>
  <si>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</si>
  <si>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</si>
  <si>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</si>
  <si>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</si>
  <si>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</si>
  <si>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</si>
  <si>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</si>
  <si>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</si>
  <si>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</si>
  <si>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</si>
  <si>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</si>
  <si>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</si>
  <si>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</si>
  <si>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</si>
  <si>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</si>
  <si>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</si>
  <si>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</si>
  <si>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</si>
  <si>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</si>
  <si>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</si>
  <si>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</si>
  <si>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</si>
  <si>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</si>
  <si>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</si>
  <si>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</si>
  <si>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</si>
  <si>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</si>
  <si>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</si>
  <si>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</si>
  <si>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</si>
  <si>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</si>
  <si>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</si>
  <si>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</si>
  <si>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</si>
  <si>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</si>
  <si>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</si>
  <si>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</si>
  <si>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</si>
  <si>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</si>
  <si>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</si>
  <si>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</si>
  <si>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</si>
  <si>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</si>
  <si>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</si>
  <si>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</si>
  <si>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</si>
  <si>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</si>
  <si>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</si>
  <si>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</si>
  <si>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</si>
  <si>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</si>
  <si>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</si>
  <si>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</si>
  <si>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</si>
  <si>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</si>
  <si>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</si>
  <si>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</si>
  <si>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</si>
  <si>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</si>
  <si>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</si>
  <si>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</si>
  <si>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</si>
  <si>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</si>
  <si>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</si>
  <si>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</si>
  <si>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</si>
  <si>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</si>
  <si>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</si>
  <si>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</si>
  <si>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</si>
  <si>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</si>
  <si>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</si>
  <si>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</si>
  <si>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</si>
  <si>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</si>
  <si>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</si>
  <si>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</si>
  <si>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</si>
  <si>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</si>
  <si>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</si>
  <si>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</si>
  <si>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</si>
  <si>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</si>
  <si>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</si>
  <si>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</si>
  <si>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</si>
  <si>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</si>
  <si>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</si>
  <si>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</si>
  <si>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</si>
  <si>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</si>
  <si>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</si>
  <si>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</si>
  <si>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</si>
  <si>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</si>
  <si>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</si>
  <si>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</si>
  <si>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</si>
  <si>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</si>
  <si>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</si>
  <si>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</si>
  <si>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</si>
  <si>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</si>
  <si>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</si>
  <si>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</si>
  <si>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</si>
  <si>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</si>
  <si>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</si>
  <si>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</si>
  <si>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</si>
  <si>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</si>
  <si>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</si>
  <si>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</si>
  <si>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</si>
  <si>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</si>
  <si>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</si>
  <si>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</si>
  <si>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</si>
  <si>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</si>
  <si>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</si>
  <si>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</si>
  <si>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</si>
  <si>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</si>
  <si>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</si>
  <si>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</si>
  <si>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</si>
  <si>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</si>
  <si>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</si>
  <si>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</si>
  <si>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</si>
  <si>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</si>
  <si>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</si>
  <si>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</si>
  <si>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</si>
  <si>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</si>
  <si>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</si>
  <si>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</si>
  <si>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</si>
  <si>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</si>
  <si>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</si>
  <si>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</si>
  <si>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</si>
  <si>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</si>
  <si>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</si>
  <si>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</si>
  <si>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</si>
  <si>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</si>
  <si>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</si>
  <si>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</si>
  <si>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</si>
  <si>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</si>
  <si>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</si>
  <si>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</si>
  <si>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</si>
  <si>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</si>
  <si>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</si>
  <si>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</si>
  <si>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</si>
  <si>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</si>
  <si>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</si>
  <si>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</si>
  <si>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</si>
  <si>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</si>
  <si>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</si>
  <si>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</si>
  <si>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</si>
  <si>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</si>
  <si>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</si>
  <si>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</si>
  <si>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</si>
  <si>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</si>
  <si>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</si>
  <si>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</si>
  <si>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</si>
  <si>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</si>
  <si>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</si>
  <si>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</si>
  <si>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</si>
  <si>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</si>
  <si>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</si>
  <si>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</si>
  <si>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</si>
  <si>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</si>
  <si>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</si>
  <si>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</si>
  <si>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</si>
  <si>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</si>
  <si>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</si>
  <si>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</si>
  <si>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</si>
  <si>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</si>
  <si>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</si>
  <si>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</si>
  <si>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</si>
  <si>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</si>
  <si>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</si>
  <si>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</si>
  <si>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</si>
  <si>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</si>
  <si>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</si>
  <si>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</si>
  <si>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</si>
  <si>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</si>
  <si>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</si>
  <si>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</si>
  <si>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</si>
  <si>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</si>
  <si>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</si>
  <si>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</si>
  <si>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</si>
  <si>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</si>
  <si>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</si>
  <si>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</si>
  <si>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</si>
  <si>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</si>
  <si>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</si>
  <si>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</si>
  <si>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</si>
  <si>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</si>
  <si>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</si>
  <si>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</si>
  <si>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</si>
  <si>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</si>
  <si>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</si>
  <si>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</si>
  <si>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</si>
  <si>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</si>
  <si>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</si>
  <si>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</si>
  <si>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</si>
  <si>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</si>
  <si>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</si>
  <si>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</si>
  <si>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</si>
  <si>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</si>
  <si>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</si>
  <si>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</si>
  <si>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</si>
  <si>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</si>
  <si>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</si>
  <si>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</si>
  <si>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</si>
  <si>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</si>
  <si>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</si>
  <si>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</si>
  <si>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</si>
  <si>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</si>
  <si>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</si>
  <si>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</si>
  <si>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</si>
  <si>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</si>
  <si>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</si>
  <si>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</si>
  <si>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</si>
  <si>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</si>
  <si>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</si>
  <si>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</si>
  <si>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</si>
  <si>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</si>
  <si>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</si>
  <si>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</si>
  <si>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</si>
  <si>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</si>
  <si>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</si>
  <si>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</si>
  <si>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</si>
  <si>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</si>
  <si>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</si>
  <si>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</si>
  <si>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</si>
  <si>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</si>
  <si>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</si>
  <si>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</si>
  <si>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</si>
  <si>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</si>
  <si>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</si>
  <si>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</si>
  <si>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</si>
  <si>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</si>
  <si>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</si>
  <si>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</si>
  <si>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</si>
  <si>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</si>
  <si>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</si>
  <si>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</si>
  <si>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</si>
  <si>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</si>
  <si>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</si>
  <si>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</si>
  <si>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</si>
  <si>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</si>
  <si>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</si>
  <si>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</si>
  <si>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</si>
  <si>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</si>
  <si>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</si>
  <si>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</si>
  <si>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</si>
  <si>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</si>
  <si>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</si>
  <si>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</si>
  <si>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</si>
  <si>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</si>
  <si>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</si>
  <si>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</si>
  <si>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</si>
  <si>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</si>
  <si>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</si>
  <si>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</si>
  <si>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</si>
  <si>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</si>
  <si>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</si>
  <si>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</si>
  <si>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</si>
  <si>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</si>
  <si>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</si>
  <si>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Newmarket SD</t>
  </si>
  <si>
    <t>Impact Fees from Town of Newmarket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</si>
</sst>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64" sqref="H6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399</v>
      </c>
      <c r="C2" s="21">
        <v>399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458617.88</v>
      </c>
      <c r="G9" s="18"/>
      <c r="H9" s="18"/>
      <c r="I9" s="18"/>
      <c r="J9" s="67">
        <f>SUM(I438)</f>
        <v>1620840.9100000001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3.11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98487.02</v>
      </c>
      <c r="G12" s="18"/>
      <c r="H12" s="18">
        <v>116281.73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6185.83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129600.85</v>
      </c>
      <c r="G14" s="18">
        <v>7019.55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10936.86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8044.68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0.1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694753.64</v>
      </c>
      <c r="G19" s="41">
        <f>SUM(G9:G18)</f>
        <v>24142.240000000002</v>
      </c>
      <c r="H19" s="41">
        <f>SUM(H9:H18)</f>
        <v>116281.73</v>
      </c>
      <c r="I19" s="41">
        <f>SUM(I9:I18)</f>
        <v>0</v>
      </c>
      <c r="J19" s="41">
        <f>SUM(J9:J18)</f>
        <v>1620840.9100000001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105506.57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306500.8</v>
      </c>
      <c r="G24" s="18"/>
      <c r="H24" s="18"/>
      <c r="I24" s="18"/>
      <c r="J24" s="67">
        <f>SUM(I449)</f>
        <v>83026.399999999994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38701.449999999997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345202.25</v>
      </c>
      <c r="G32" s="41">
        <f>SUM(G22:G31)</f>
        <v>0</v>
      </c>
      <c r="H32" s="41">
        <f>SUM(H22:H31)</f>
        <v>105506.57</v>
      </c>
      <c r="I32" s="41">
        <f>SUM(I22:I31)</f>
        <v>0</v>
      </c>
      <c r="J32" s="41">
        <f>SUM(J22:J31)</f>
        <v>83026.399999999994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1537814.51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>
        <v>24142.240000000002</v>
      </c>
      <c r="H48" s="18">
        <v>10775.16</v>
      </c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349551.39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349551.39</v>
      </c>
      <c r="G50" s="41">
        <f>SUM(G35:G49)</f>
        <v>24142.240000000002</v>
      </c>
      <c r="H50" s="41">
        <f>SUM(H35:H49)</f>
        <v>10775.16</v>
      </c>
      <c r="I50" s="41">
        <f>SUM(I35:I49)</f>
        <v>0</v>
      </c>
      <c r="J50" s="41">
        <f>SUM(J35:J49)</f>
        <v>1537814.51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694753.64</v>
      </c>
      <c r="G51" s="41">
        <f>G50+G32</f>
        <v>24142.240000000002</v>
      </c>
      <c r="H51" s="41">
        <f>H50+H32</f>
        <v>116281.73000000001</v>
      </c>
      <c r="I51" s="41">
        <f>I50+I32</f>
        <v>0</v>
      </c>
      <c r="J51" s="41">
        <f>J50+J32</f>
        <v>1620840.91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11082431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30000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11112431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31065.05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3390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34455.050000000003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7210.09</v>
      </c>
      <c r="G95" s="18"/>
      <c r="H95" s="18"/>
      <c r="I95" s="18"/>
      <c r="J95" s="18">
        <v>715.41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145890.76999999999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4454.3999999999996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6782.9</v>
      </c>
      <c r="G109" s="18">
        <v>5057.3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18447.39</v>
      </c>
      <c r="G110" s="41">
        <f>SUM(G95:G109)</f>
        <v>150948.06999999998</v>
      </c>
      <c r="H110" s="41">
        <f>SUM(H95:H109)</f>
        <v>0</v>
      </c>
      <c r="I110" s="41">
        <f>SUM(I95:I109)</f>
        <v>0</v>
      </c>
      <c r="J110" s="41">
        <f>SUM(J95:J109)</f>
        <v>715.41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11165333.440000001</v>
      </c>
      <c r="G111" s="41">
        <f>G59+G110</f>
        <v>150948.06999999998</v>
      </c>
      <c r="H111" s="41">
        <f>H59+H78+H93+H110</f>
        <v>0</v>
      </c>
      <c r="I111" s="41">
        <f>I59+I110</f>
        <v>0</v>
      </c>
      <c r="J111" s="41">
        <f>J59+J110</f>
        <v>715.41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2278114.16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1756331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1973.84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13282.41</v>
      </c>
      <c r="G119" s="18">
        <v>3650.01</v>
      </c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4049701.41</v>
      </c>
      <c r="G120" s="41">
        <f>SUM(G116:G119)</f>
        <v>3650.01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82698.89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8288.02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124346.86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3150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94136.91</v>
      </c>
      <c r="G135" s="41">
        <f>SUM(G122:G134)</f>
        <v>124346.86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4143838.3200000003</v>
      </c>
      <c r="G139" s="41">
        <f>G120+SUM(G135:G136)</f>
        <v>127996.87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1.32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>
        <v>14614</v>
      </c>
      <c r="H145" s="18">
        <v>85715.28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1.32</v>
      </c>
      <c r="G146" s="41">
        <f>SUM(G144:G145)</f>
        <v>14614</v>
      </c>
      <c r="H146" s="41">
        <f>SUM(H144:H145)</f>
        <v>85715.28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167764.25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67054.899999999994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294628.90999999997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195034.58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195034.58</v>
      </c>
      <c r="G161" s="41">
        <f>SUM(G149:G160)</f>
        <v>0</v>
      </c>
      <c r="H161" s="41">
        <f>SUM(H149:H160)</f>
        <v>529448.05999999994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18625.490000000002</v>
      </c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195035.9</v>
      </c>
      <c r="G168" s="41">
        <f>G146+G161+SUM(G162:G167)</f>
        <v>14614</v>
      </c>
      <c r="H168" s="41">
        <f>H146+H161+SUM(H162:H167)</f>
        <v>633788.82999999996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747.57</v>
      </c>
      <c r="H178" s="18"/>
      <c r="I178" s="18"/>
      <c r="J178" s="18">
        <v>169080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1856.8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1856.8</v>
      </c>
      <c r="G182" s="41">
        <f>SUM(G178:G181)</f>
        <v>747.57</v>
      </c>
      <c r="H182" s="41">
        <f>SUM(H178:H181)</f>
        <v>0</v>
      </c>
      <c r="I182" s="41">
        <f>SUM(I178:I181)</f>
        <v>0</v>
      </c>
      <c r="J182" s="41">
        <f>SUM(J178:J181)</f>
        <v>169080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228426.51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228426.51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230283.31</v>
      </c>
      <c r="G191" s="41">
        <f>G182+SUM(G187:G190)</f>
        <v>747.57</v>
      </c>
      <c r="H191" s="41">
        <f>+H182+SUM(H187:H190)</f>
        <v>0</v>
      </c>
      <c r="I191" s="41">
        <f>I176+I182+SUM(I187:I190)</f>
        <v>0</v>
      </c>
      <c r="J191" s="41">
        <f>J182</f>
        <v>169080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15734490.970000003</v>
      </c>
      <c r="G192" s="47">
        <f>G111+G139+G168+G191</f>
        <v>294306.50999999995</v>
      </c>
      <c r="H192" s="47">
        <f>H111+H139+H168+H191</f>
        <v>633788.82999999996</v>
      </c>
      <c r="I192" s="47">
        <f>I111+I139+I168+I191</f>
        <v>0</v>
      </c>
      <c r="J192" s="47">
        <f>J111+J139+J191</f>
        <v>169795.41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2593351.2999999998</v>
      </c>
      <c r="G196" s="18">
        <v>1185421.6100000001</v>
      </c>
      <c r="H196" s="18">
        <v>850.31</v>
      </c>
      <c r="I196" s="18">
        <v>88381.65</v>
      </c>
      <c r="J196" s="18">
        <v>9895.3799999999992</v>
      </c>
      <c r="K196" s="18">
        <v>4311.08</v>
      </c>
      <c r="L196" s="19">
        <f>SUM(F196:K196)</f>
        <v>3882211.33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1367269.97</v>
      </c>
      <c r="G197" s="18">
        <v>516256.91</v>
      </c>
      <c r="H197" s="18">
        <v>447469.92</v>
      </c>
      <c r="I197" s="18">
        <v>7862.57</v>
      </c>
      <c r="J197" s="18">
        <v>5006.58</v>
      </c>
      <c r="K197" s="18">
        <v>0</v>
      </c>
      <c r="L197" s="19">
        <f>SUM(F197:K197)</f>
        <v>2343865.9499999997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345949.8</v>
      </c>
      <c r="G199" s="18">
        <v>124589.02</v>
      </c>
      <c r="H199" s="18">
        <v>11208.23</v>
      </c>
      <c r="I199" s="18">
        <v>2404.6799999999998</v>
      </c>
      <c r="J199" s="18">
        <v>0</v>
      </c>
      <c r="K199" s="18">
        <v>5038.3999999999996</v>
      </c>
      <c r="L199" s="19">
        <f>SUM(F199:K199)</f>
        <v>489190.13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611601.34</v>
      </c>
      <c r="G201" s="18">
        <v>315035.58</v>
      </c>
      <c r="H201" s="18">
        <v>1536.37</v>
      </c>
      <c r="I201" s="18">
        <v>7282.52</v>
      </c>
      <c r="J201" s="18">
        <v>0</v>
      </c>
      <c r="K201" s="18">
        <v>93.54</v>
      </c>
      <c r="L201" s="19">
        <f t="shared" ref="L201:L207" si="0">SUM(F201:K201)</f>
        <v>935549.35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251672.4</v>
      </c>
      <c r="G202" s="18">
        <v>124701.45</v>
      </c>
      <c r="H202" s="18">
        <v>41726.82</v>
      </c>
      <c r="I202" s="18">
        <v>53708.82</v>
      </c>
      <c r="J202" s="18">
        <v>42863.73</v>
      </c>
      <c r="K202" s="18">
        <v>166.44</v>
      </c>
      <c r="L202" s="19">
        <f t="shared" si="0"/>
        <v>514839.66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199596.78</v>
      </c>
      <c r="G203" s="18">
        <v>67328.479999999996</v>
      </c>
      <c r="H203" s="18">
        <v>116421.17</v>
      </c>
      <c r="I203" s="18">
        <v>4313.53</v>
      </c>
      <c r="J203" s="18">
        <v>791.58799999999997</v>
      </c>
      <c r="K203" s="18">
        <v>13493.5</v>
      </c>
      <c r="L203" s="19">
        <f t="shared" si="0"/>
        <v>401945.04800000001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365995.39</v>
      </c>
      <c r="G204" s="18">
        <v>169838.77</v>
      </c>
      <c r="H204" s="18">
        <v>53708.92</v>
      </c>
      <c r="I204" s="18">
        <v>3510.82</v>
      </c>
      <c r="J204" s="18">
        <v>0</v>
      </c>
      <c r="K204" s="18">
        <v>10394.49</v>
      </c>
      <c r="L204" s="19">
        <f t="shared" si="0"/>
        <v>603448.39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122704.91</v>
      </c>
      <c r="G205" s="18">
        <v>43648.59</v>
      </c>
      <c r="H205" s="18">
        <v>11009.3</v>
      </c>
      <c r="I205" s="18">
        <v>5317.23</v>
      </c>
      <c r="J205" s="18">
        <v>1077.8900000000001</v>
      </c>
      <c r="K205" s="18">
        <v>1227.7</v>
      </c>
      <c r="L205" s="19">
        <f t="shared" si="0"/>
        <v>184985.62000000002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208372.94</v>
      </c>
      <c r="G206" s="18">
        <v>83186.080000000002</v>
      </c>
      <c r="H206" s="18">
        <v>282063.8</v>
      </c>
      <c r="I206" s="18">
        <v>227562.01</v>
      </c>
      <c r="J206" s="18">
        <v>5805.39</v>
      </c>
      <c r="K206" s="18"/>
      <c r="L206" s="19">
        <f t="shared" si="0"/>
        <v>806990.22000000009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280108.78000000003</v>
      </c>
      <c r="I207" s="18"/>
      <c r="J207" s="18"/>
      <c r="K207" s="18"/>
      <c r="L207" s="19">
        <f t="shared" si="0"/>
        <v>280108.78000000003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6066514.8300000001</v>
      </c>
      <c r="G210" s="41">
        <f t="shared" si="1"/>
        <v>2630006.4900000002</v>
      </c>
      <c r="H210" s="41">
        <f t="shared" si="1"/>
        <v>1246103.6200000001</v>
      </c>
      <c r="I210" s="41">
        <f t="shared" si="1"/>
        <v>400343.83</v>
      </c>
      <c r="J210" s="41">
        <f t="shared" si="1"/>
        <v>65440.558000000005</v>
      </c>
      <c r="K210" s="41">
        <f t="shared" si="1"/>
        <v>34725.149999999994</v>
      </c>
      <c r="L210" s="41">
        <f t="shared" si="1"/>
        <v>10443134.477999998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1054600.8600000001</v>
      </c>
      <c r="G232" s="18">
        <v>495118.25</v>
      </c>
      <c r="H232" s="18">
        <v>4015.16</v>
      </c>
      <c r="I232" s="18">
        <v>30226.68</v>
      </c>
      <c r="J232" s="18">
        <v>8745.42</v>
      </c>
      <c r="K232" s="18">
        <v>4861.43</v>
      </c>
      <c r="L232" s="19">
        <f>SUM(F232:K232)</f>
        <v>1597567.7999999998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432474.18</v>
      </c>
      <c r="G233" s="18">
        <v>141772.46</v>
      </c>
      <c r="H233" s="18">
        <v>164623.70000000001</v>
      </c>
      <c r="I233" s="18">
        <v>2806.9</v>
      </c>
      <c r="J233" s="18">
        <v>1939.19</v>
      </c>
      <c r="K233" s="18"/>
      <c r="L233" s="19">
        <f>SUM(F233:K233)</f>
        <v>743616.43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29099.5</v>
      </c>
      <c r="G234" s="18">
        <v>9377.81</v>
      </c>
      <c r="H234" s="18">
        <v>83306.3</v>
      </c>
      <c r="I234" s="18">
        <v>1395.53</v>
      </c>
      <c r="J234" s="18">
        <v>0</v>
      </c>
      <c r="K234" s="18">
        <v>60</v>
      </c>
      <c r="L234" s="19">
        <f>SUM(F234:K234)</f>
        <v>123239.14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66640.08</v>
      </c>
      <c r="G235" s="18">
        <v>20012.13</v>
      </c>
      <c r="H235" s="18">
        <v>12639.07</v>
      </c>
      <c r="I235" s="18">
        <v>2711.66</v>
      </c>
      <c r="J235" s="18">
        <v>0</v>
      </c>
      <c r="K235" s="18">
        <v>5681.6</v>
      </c>
      <c r="L235" s="19">
        <f>SUM(F235:K235)</f>
        <v>107684.54000000001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157108.43</v>
      </c>
      <c r="G237" s="18">
        <v>71432.53</v>
      </c>
      <c r="H237" s="18">
        <v>702.1</v>
      </c>
      <c r="I237" s="18">
        <v>3245.53</v>
      </c>
      <c r="J237" s="18">
        <v>0</v>
      </c>
      <c r="K237" s="18">
        <v>105.46</v>
      </c>
      <c r="L237" s="19">
        <f t="shared" ref="L237:L243" si="4">SUM(F237:K237)</f>
        <v>232594.05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91792</v>
      </c>
      <c r="G238" s="18">
        <v>46449.57</v>
      </c>
      <c r="H238" s="18">
        <v>17666.89</v>
      </c>
      <c r="I238" s="18">
        <v>22444.04</v>
      </c>
      <c r="J238" s="18">
        <v>27517.25</v>
      </c>
      <c r="K238" s="18">
        <v>61.57</v>
      </c>
      <c r="L238" s="19">
        <f t="shared" si="4"/>
        <v>205931.32000000004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73823.460000000006</v>
      </c>
      <c r="G239" s="18">
        <v>24902.32</v>
      </c>
      <c r="H239" s="18">
        <v>43059.89</v>
      </c>
      <c r="I239" s="18">
        <v>1595.42</v>
      </c>
      <c r="J239" s="18">
        <v>292.77999999999997</v>
      </c>
      <c r="K239" s="18">
        <v>4990.74</v>
      </c>
      <c r="L239" s="19">
        <f t="shared" si="4"/>
        <v>148664.60999999999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140498.76999999999</v>
      </c>
      <c r="G240" s="18">
        <v>60803.39</v>
      </c>
      <c r="H240" s="18">
        <v>25637.24</v>
      </c>
      <c r="I240" s="18">
        <v>1246.3</v>
      </c>
      <c r="J240" s="18">
        <v>0</v>
      </c>
      <c r="K240" s="18">
        <v>9997.26</v>
      </c>
      <c r="L240" s="19">
        <f t="shared" si="4"/>
        <v>238182.95999999996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45384.01</v>
      </c>
      <c r="G241" s="18">
        <v>16144</v>
      </c>
      <c r="H241" s="18">
        <v>4071.93</v>
      </c>
      <c r="I241" s="18">
        <v>1966.65</v>
      </c>
      <c r="J241" s="18">
        <v>398.67</v>
      </c>
      <c r="K241" s="18">
        <v>454.08</v>
      </c>
      <c r="L241" s="19">
        <f t="shared" si="4"/>
        <v>68419.34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82656.94</v>
      </c>
      <c r="G242" s="18">
        <v>35747.360000000001</v>
      </c>
      <c r="H242" s="18">
        <v>211855.03</v>
      </c>
      <c r="I242" s="18">
        <v>119012.69</v>
      </c>
      <c r="J242" s="18">
        <v>290.38</v>
      </c>
      <c r="K242" s="18">
        <v>0</v>
      </c>
      <c r="L242" s="19">
        <f t="shared" si="4"/>
        <v>449562.4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149585.32999999999</v>
      </c>
      <c r="I243" s="18">
        <v>0</v>
      </c>
      <c r="J243" s="18">
        <v>0</v>
      </c>
      <c r="K243" s="18">
        <v>0</v>
      </c>
      <c r="L243" s="19">
        <f t="shared" si="4"/>
        <v>149585.32999999999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2174078.23</v>
      </c>
      <c r="G246" s="41">
        <f t="shared" si="5"/>
        <v>921759.82</v>
      </c>
      <c r="H246" s="41">
        <f t="shared" si="5"/>
        <v>717162.64</v>
      </c>
      <c r="I246" s="41">
        <f t="shared" si="5"/>
        <v>186651.4</v>
      </c>
      <c r="J246" s="41">
        <f t="shared" si="5"/>
        <v>39183.689999999995</v>
      </c>
      <c r="K246" s="41">
        <f t="shared" si="5"/>
        <v>26212.14</v>
      </c>
      <c r="L246" s="41">
        <f t="shared" si="5"/>
        <v>4065047.9199999995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851009.61</v>
      </c>
      <c r="I254" s="18"/>
      <c r="J254" s="18"/>
      <c r="K254" s="18"/>
      <c r="L254" s="19">
        <f t="shared" si="6"/>
        <v>851009.61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851009.61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851009.61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8240593.0600000005</v>
      </c>
      <c r="G256" s="41">
        <f t="shared" si="8"/>
        <v>3551766.31</v>
      </c>
      <c r="H256" s="41">
        <f t="shared" si="8"/>
        <v>2814275.87</v>
      </c>
      <c r="I256" s="41">
        <f t="shared" si="8"/>
        <v>586995.23</v>
      </c>
      <c r="J256" s="41">
        <f t="shared" si="8"/>
        <v>104624.24799999999</v>
      </c>
      <c r="K256" s="41">
        <f t="shared" si="8"/>
        <v>60937.289999999994</v>
      </c>
      <c r="L256" s="41">
        <f t="shared" si="8"/>
        <v>15359192.007999998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747.57</v>
      </c>
      <c r="L262" s="19">
        <f>SUM(F262:K262)</f>
        <v>747.57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169080</v>
      </c>
      <c r="L265" s="19">
        <f t="shared" si="9"/>
        <v>169080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169827.57</v>
      </c>
      <c r="L269" s="41">
        <f t="shared" si="9"/>
        <v>169827.57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8240593.0600000005</v>
      </c>
      <c r="G270" s="42">
        <f t="shared" si="11"/>
        <v>3551766.31</v>
      </c>
      <c r="H270" s="42">
        <f t="shared" si="11"/>
        <v>2814275.87</v>
      </c>
      <c r="I270" s="42">
        <f t="shared" si="11"/>
        <v>586995.23</v>
      </c>
      <c r="J270" s="42">
        <f t="shared" si="11"/>
        <v>104624.24799999999</v>
      </c>
      <c r="K270" s="42">
        <f t="shared" si="11"/>
        <v>230764.86</v>
      </c>
      <c r="L270" s="42">
        <f t="shared" si="11"/>
        <v>15529019.577999998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104641.21</v>
      </c>
      <c r="G275" s="18">
        <v>92521.22</v>
      </c>
      <c r="H275" s="18">
        <v>13962.61</v>
      </c>
      <c r="I275" s="18">
        <v>10946.12</v>
      </c>
      <c r="J275" s="18">
        <v>558.17999999999995</v>
      </c>
      <c r="K275" s="18">
        <v>0</v>
      </c>
      <c r="L275" s="19">
        <f>SUM(F275:K275)</f>
        <v>222629.33999999997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123678.55</v>
      </c>
      <c r="G276" s="18">
        <v>26426.01</v>
      </c>
      <c r="H276" s="18">
        <v>3126.46</v>
      </c>
      <c r="I276" s="18">
        <v>5189.22</v>
      </c>
      <c r="J276" s="18">
        <v>12551.2</v>
      </c>
      <c r="K276" s="18">
        <v>0</v>
      </c>
      <c r="L276" s="19">
        <f>SUM(F276:K276)</f>
        <v>170971.44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3675.16</v>
      </c>
      <c r="G278" s="18">
        <v>654.29</v>
      </c>
      <c r="H278" s="18">
        <v>11.48</v>
      </c>
      <c r="I278" s="18">
        <v>1859.68</v>
      </c>
      <c r="J278" s="18">
        <v>1650</v>
      </c>
      <c r="K278" s="18">
        <v>0</v>
      </c>
      <c r="L278" s="19">
        <f>SUM(F278:K278)</f>
        <v>7850.61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1645</v>
      </c>
      <c r="G280" s="18">
        <v>294.75</v>
      </c>
      <c r="H280" s="18">
        <v>854.7</v>
      </c>
      <c r="I280" s="18">
        <v>331.57</v>
      </c>
      <c r="J280" s="18">
        <v>0</v>
      </c>
      <c r="K280" s="18">
        <v>76.739999999999995</v>
      </c>
      <c r="L280" s="19">
        <f t="shared" ref="L280:L286" si="12">SUM(F280:K280)</f>
        <v>3202.7599999999998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13594.97</v>
      </c>
      <c r="G281" s="18">
        <v>2324.6799999999998</v>
      </c>
      <c r="H281" s="18">
        <v>32309.7</v>
      </c>
      <c r="I281" s="18">
        <v>1439.2</v>
      </c>
      <c r="J281" s="18">
        <v>0</v>
      </c>
      <c r="K281" s="18">
        <v>0</v>
      </c>
      <c r="L281" s="19">
        <f t="shared" si="12"/>
        <v>49668.549999999996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458.25</v>
      </c>
      <c r="I286" s="18">
        <v>0</v>
      </c>
      <c r="J286" s="18">
        <v>0</v>
      </c>
      <c r="K286" s="18">
        <v>0</v>
      </c>
      <c r="L286" s="19">
        <f t="shared" si="12"/>
        <v>458.25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247234.89</v>
      </c>
      <c r="G289" s="42">
        <f t="shared" si="13"/>
        <v>122220.94999999998</v>
      </c>
      <c r="H289" s="42">
        <f t="shared" si="13"/>
        <v>50723.199999999997</v>
      </c>
      <c r="I289" s="42">
        <f t="shared" si="13"/>
        <v>19765.79</v>
      </c>
      <c r="J289" s="42">
        <f t="shared" si="13"/>
        <v>14759.380000000001</v>
      </c>
      <c r="K289" s="42">
        <f t="shared" si="13"/>
        <v>76.739999999999995</v>
      </c>
      <c r="L289" s="41">
        <f t="shared" si="13"/>
        <v>454780.94999999995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881.78</v>
      </c>
      <c r="G313" s="18">
        <v>24922.54</v>
      </c>
      <c r="H313" s="18">
        <v>5365.13</v>
      </c>
      <c r="I313" s="18">
        <v>2239.09</v>
      </c>
      <c r="J313" s="18">
        <v>629.46</v>
      </c>
      <c r="K313" s="18">
        <v>0</v>
      </c>
      <c r="L313" s="19">
        <f>SUM(F313:K313)</f>
        <v>34038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91794.19</v>
      </c>
      <c r="G314" s="18">
        <v>22685.8</v>
      </c>
      <c r="H314" s="18">
        <v>1275.3399999999999</v>
      </c>
      <c r="I314" s="18">
        <v>2098.65</v>
      </c>
      <c r="J314" s="18">
        <v>1233.67</v>
      </c>
      <c r="K314" s="18">
        <v>0</v>
      </c>
      <c r="L314" s="19">
        <f>SUM(F314:K314)</f>
        <v>119087.65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318</v>
      </c>
      <c r="G316" s="18">
        <v>27.09</v>
      </c>
      <c r="H316" s="18">
        <v>12.94</v>
      </c>
      <c r="I316" s="18">
        <v>60.98</v>
      </c>
      <c r="J316" s="18">
        <v>0</v>
      </c>
      <c r="K316" s="18">
        <v>0</v>
      </c>
      <c r="L316" s="19">
        <f>SUM(F316:K316)</f>
        <v>419.01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1855</v>
      </c>
      <c r="G318" s="18">
        <v>424.15</v>
      </c>
      <c r="H318" s="18">
        <v>535.29999999999995</v>
      </c>
      <c r="I318" s="18">
        <v>249.43</v>
      </c>
      <c r="J318" s="18">
        <v>0</v>
      </c>
      <c r="K318" s="18">
        <v>86.53</v>
      </c>
      <c r="L318" s="19">
        <f t="shared" ref="L318:L324" si="16">SUM(F318:K318)</f>
        <v>3150.41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3904.15</v>
      </c>
      <c r="G319" s="18">
        <v>686.55</v>
      </c>
      <c r="H319" s="18">
        <v>9125.7000000000007</v>
      </c>
      <c r="I319" s="18">
        <v>25.87</v>
      </c>
      <c r="J319" s="18">
        <v>0</v>
      </c>
      <c r="K319" s="18">
        <v>0</v>
      </c>
      <c r="L319" s="19">
        <f t="shared" si="16"/>
        <v>13742.270000000002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516.75</v>
      </c>
      <c r="I323" s="18">
        <v>0</v>
      </c>
      <c r="J323" s="18">
        <v>0</v>
      </c>
      <c r="K323" s="18">
        <v>0</v>
      </c>
      <c r="L323" s="19">
        <f t="shared" si="16"/>
        <v>516.75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98753.12</v>
      </c>
      <c r="G327" s="42">
        <f t="shared" si="17"/>
        <v>48746.13</v>
      </c>
      <c r="H327" s="42">
        <f t="shared" si="17"/>
        <v>16831.16</v>
      </c>
      <c r="I327" s="42">
        <f t="shared" si="17"/>
        <v>4674.0199999999995</v>
      </c>
      <c r="J327" s="42">
        <f t="shared" si="17"/>
        <v>1863.13</v>
      </c>
      <c r="K327" s="42">
        <f t="shared" si="17"/>
        <v>86.53</v>
      </c>
      <c r="L327" s="41">
        <f t="shared" si="17"/>
        <v>170954.09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345988.01</v>
      </c>
      <c r="G337" s="41">
        <f t="shared" si="20"/>
        <v>170967.08</v>
      </c>
      <c r="H337" s="41">
        <f t="shared" si="20"/>
        <v>67554.36</v>
      </c>
      <c r="I337" s="41">
        <f t="shared" si="20"/>
        <v>24439.81</v>
      </c>
      <c r="J337" s="41">
        <f t="shared" si="20"/>
        <v>16622.510000000002</v>
      </c>
      <c r="K337" s="41">
        <f t="shared" si="20"/>
        <v>163.26999999999998</v>
      </c>
      <c r="L337" s="41">
        <f t="shared" si="20"/>
        <v>625735.03999999992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1856.8</v>
      </c>
      <c r="L343" s="19">
        <f t="shared" ref="L343:L349" si="21">SUM(F343:K343)</f>
        <v>1856.8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1856.8</v>
      </c>
      <c r="L350" s="41">
        <f>SUM(L340:L349)</f>
        <v>1856.8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345988.01</v>
      </c>
      <c r="G351" s="41">
        <f>G337</f>
        <v>170967.08</v>
      </c>
      <c r="H351" s="41">
        <f>H337</f>
        <v>67554.36</v>
      </c>
      <c r="I351" s="41">
        <f>I337</f>
        <v>24439.81</v>
      </c>
      <c r="J351" s="41">
        <f>J337</f>
        <v>16622.510000000002</v>
      </c>
      <c r="K351" s="47">
        <f>K337+K350</f>
        <v>2020.07</v>
      </c>
      <c r="L351" s="41">
        <f>L337+L350</f>
        <v>627591.84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94477</v>
      </c>
      <c r="G357" s="18">
        <v>19887.2</v>
      </c>
      <c r="H357" s="18">
        <v>4448.74</v>
      </c>
      <c r="I357" s="18">
        <v>78298.39</v>
      </c>
      <c r="J357" s="18">
        <v>108.58</v>
      </c>
      <c r="K357" s="18"/>
      <c r="L357" s="13">
        <f>SUM(F357:K357)</f>
        <v>197219.91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34943.550000000003</v>
      </c>
      <c r="G359" s="18">
        <v>7355.54</v>
      </c>
      <c r="H359" s="18">
        <v>1645.42</v>
      </c>
      <c r="I359" s="18">
        <v>28959.69</v>
      </c>
      <c r="J359" s="18">
        <v>40.159999999999997</v>
      </c>
      <c r="K359" s="18"/>
      <c r="L359" s="19">
        <f>SUM(F359:K359)</f>
        <v>72944.36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129420.55</v>
      </c>
      <c r="G361" s="47">
        <f t="shared" si="22"/>
        <v>27242.74</v>
      </c>
      <c r="H361" s="47">
        <f t="shared" si="22"/>
        <v>6094.16</v>
      </c>
      <c r="I361" s="47">
        <f t="shared" si="22"/>
        <v>107258.08</v>
      </c>
      <c r="J361" s="47">
        <f t="shared" si="22"/>
        <v>148.74</v>
      </c>
      <c r="K361" s="47">
        <f t="shared" si="22"/>
        <v>0</v>
      </c>
      <c r="L361" s="47">
        <f t="shared" si="22"/>
        <v>270164.27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74178.259999999995</v>
      </c>
      <c r="G366" s="18"/>
      <c r="H366" s="18">
        <v>27435.8</v>
      </c>
      <c r="I366" s="56">
        <f>SUM(F366:H366)</f>
        <v>101614.06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4120.13</v>
      </c>
      <c r="G367" s="63"/>
      <c r="H367" s="63">
        <v>1523.89</v>
      </c>
      <c r="I367" s="56">
        <f>SUM(F367:H367)</f>
        <v>5644.02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78298.39</v>
      </c>
      <c r="G368" s="47">
        <f>SUM(G366:G367)</f>
        <v>0</v>
      </c>
      <c r="H368" s="47">
        <f>SUM(H366:H367)</f>
        <v>28959.69</v>
      </c>
      <c r="I368" s="47">
        <f>SUM(I366:I367)</f>
        <v>107258.08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82632</v>
      </c>
      <c r="H387" s="18">
        <v>530.85</v>
      </c>
      <c r="I387" s="18"/>
      <c r="J387" s="24" t="s">
        <v>289</v>
      </c>
      <c r="K387" s="24" t="s">
        <v>289</v>
      </c>
      <c r="L387" s="56">
        <f t="shared" si="25"/>
        <v>83162.850000000006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82632</v>
      </c>
      <c r="H392" s="139">
        <f>SUM(H386:H391)</f>
        <v>530.85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83162.850000000006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28816</v>
      </c>
      <c r="H395" s="18">
        <v>39.75</v>
      </c>
      <c r="I395" s="18"/>
      <c r="J395" s="24" t="s">
        <v>289</v>
      </c>
      <c r="K395" s="24" t="s">
        <v>289</v>
      </c>
      <c r="L395" s="56">
        <f t="shared" si="26"/>
        <v>28855.75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28816</v>
      </c>
      <c r="H396" s="18">
        <v>107.02</v>
      </c>
      <c r="I396" s="18"/>
      <c r="J396" s="24" t="s">
        <v>289</v>
      </c>
      <c r="K396" s="24" t="s">
        <v>289</v>
      </c>
      <c r="L396" s="56">
        <f t="shared" si="26"/>
        <v>28923.02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28816</v>
      </c>
      <c r="H398" s="18">
        <v>37.79</v>
      </c>
      <c r="I398" s="18"/>
      <c r="J398" s="24" t="s">
        <v>289</v>
      </c>
      <c r="K398" s="24" t="s">
        <v>289</v>
      </c>
      <c r="L398" s="56">
        <f t="shared" si="26"/>
        <v>28853.79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86448</v>
      </c>
      <c r="H400" s="47">
        <f>SUM(H394:H399)</f>
        <v>184.55999999999997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86632.56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169080</v>
      </c>
      <c r="H407" s="47">
        <f>H392+H400+H406</f>
        <v>715.41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169795.41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>
        <v>145400.10999999999</v>
      </c>
      <c r="L413" s="56">
        <f t="shared" si="27"/>
        <v>145400.10999999999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145400.10999999999</v>
      </c>
      <c r="L418" s="47">
        <f t="shared" si="28"/>
        <v>145400.10999999999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22182.66</v>
      </c>
      <c r="L421" s="56">
        <f t="shared" si="29"/>
        <v>22182.66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60843.74</v>
      </c>
      <c r="L422" s="56">
        <f t="shared" si="29"/>
        <v>60843.74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83026.399999999994</v>
      </c>
      <c r="L426" s="47">
        <f t="shared" si="30"/>
        <v>83026.399999999994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228426.50999999998</v>
      </c>
      <c r="L433" s="47">
        <f t="shared" si="32"/>
        <v>228426.50999999998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1130812.3</v>
      </c>
      <c r="G438" s="18">
        <v>490028.61</v>
      </c>
      <c r="H438" s="18"/>
      <c r="I438" s="56">
        <f t="shared" ref="I438:I444" si="33">SUM(F438:H438)</f>
        <v>1620840.9100000001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1130812.3</v>
      </c>
      <c r="G445" s="13">
        <f>SUM(G438:G444)</f>
        <v>490028.61</v>
      </c>
      <c r="H445" s="13">
        <f>SUM(H438:H444)</f>
        <v>0</v>
      </c>
      <c r="I445" s="13">
        <f>SUM(I438:I444)</f>
        <v>1620840.9100000001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>
        <v>83026.399999999994</v>
      </c>
      <c r="H449" s="18"/>
      <c r="I449" s="56">
        <f>SUM(F449:H449)</f>
        <v>83026.399999999994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83026.399999999994</v>
      </c>
      <c r="H451" s="72">
        <f>SUM(H447:H450)</f>
        <v>0</v>
      </c>
      <c r="I451" s="72">
        <f>SUM(I447:I450)</f>
        <v>83026.399999999994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1130812.3</v>
      </c>
      <c r="G458" s="18">
        <v>407002.21</v>
      </c>
      <c r="H458" s="18"/>
      <c r="I458" s="56">
        <f t="shared" si="34"/>
        <v>1537814.51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1130812.3</v>
      </c>
      <c r="G459" s="83">
        <f>SUM(G453:G458)</f>
        <v>407002.21</v>
      </c>
      <c r="H459" s="83">
        <f>SUM(H453:H458)</f>
        <v>0</v>
      </c>
      <c r="I459" s="83">
        <f>SUM(I453:I458)</f>
        <v>1537814.51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1130812.3</v>
      </c>
      <c r="G460" s="42">
        <f>G451+G459</f>
        <v>490028.61</v>
      </c>
      <c r="H460" s="42">
        <f>H451+H459</f>
        <v>0</v>
      </c>
      <c r="I460" s="42">
        <f>I451+I459</f>
        <v>1620840.91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144080</v>
      </c>
      <c r="G464" s="18"/>
      <c r="H464" s="18">
        <v>4578.17</v>
      </c>
      <c r="I464" s="18"/>
      <c r="J464" s="18">
        <v>1596445.61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15734490.970000001</v>
      </c>
      <c r="G467" s="18">
        <v>294306.51</v>
      </c>
      <c r="H467" s="18">
        <v>633788.82999999996</v>
      </c>
      <c r="I467" s="18"/>
      <c r="J467" s="18">
        <v>169795.41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15734490.970000001</v>
      </c>
      <c r="G469" s="53">
        <f>SUM(G467:G468)</f>
        <v>294306.51</v>
      </c>
      <c r="H469" s="53">
        <f>SUM(H467:H468)</f>
        <v>633788.82999999996</v>
      </c>
      <c r="I469" s="53">
        <f>SUM(I467:I468)</f>
        <v>0</v>
      </c>
      <c r="J469" s="53">
        <f>SUM(J467:J468)</f>
        <v>169795.41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15529019.58</v>
      </c>
      <c r="G471" s="18">
        <v>270164.27</v>
      </c>
      <c r="H471" s="18">
        <v>627591.84</v>
      </c>
      <c r="I471" s="18"/>
      <c r="J471" s="18">
        <v>228426.51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15529019.58</v>
      </c>
      <c r="G473" s="53">
        <f>SUM(G471:G472)</f>
        <v>270164.27</v>
      </c>
      <c r="H473" s="53">
        <f>SUM(H471:H472)</f>
        <v>627591.84</v>
      </c>
      <c r="I473" s="53">
        <f>SUM(I471:I472)</f>
        <v>0</v>
      </c>
      <c r="J473" s="53">
        <f>SUM(J471:J472)</f>
        <v>228426.51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349551.3900000006</v>
      </c>
      <c r="G475" s="53">
        <f>(G464+G469)- G473</f>
        <v>24142.239999999991</v>
      </c>
      <c r="H475" s="53">
        <f>(H464+H469)- H473</f>
        <v>10775.160000000033</v>
      </c>
      <c r="I475" s="53">
        <f>(I464+I469)- I473</f>
        <v>0</v>
      </c>
      <c r="J475" s="53">
        <f>(J464+J469)- J473</f>
        <v>1537814.51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1490948.52</v>
      </c>
      <c r="G520" s="18">
        <v>542682.92000000004</v>
      </c>
      <c r="H520" s="18">
        <v>450596.38</v>
      </c>
      <c r="I520" s="18">
        <v>13051.79</v>
      </c>
      <c r="J520" s="18">
        <v>17557.78</v>
      </c>
      <c r="K520" s="18"/>
      <c r="L520" s="88">
        <f>SUM(F520:K520)</f>
        <v>2514837.3899999997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524268.37</v>
      </c>
      <c r="G522" s="18">
        <v>164458.26</v>
      </c>
      <c r="H522" s="18">
        <v>165899.04</v>
      </c>
      <c r="I522" s="18">
        <v>4905.55</v>
      </c>
      <c r="J522" s="18">
        <v>3172.86</v>
      </c>
      <c r="K522" s="18"/>
      <c r="L522" s="88">
        <f>SUM(F522:K522)</f>
        <v>862704.08000000007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2015216.8900000001</v>
      </c>
      <c r="G523" s="108">
        <f t="shared" ref="G523:L523" si="36">SUM(G520:G522)</f>
        <v>707141.18</v>
      </c>
      <c r="H523" s="108">
        <f t="shared" si="36"/>
        <v>616495.42000000004</v>
      </c>
      <c r="I523" s="108">
        <f t="shared" si="36"/>
        <v>17957.34</v>
      </c>
      <c r="J523" s="108">
        <f t="shared" si="36"/>
        <v>20730.64</v>
      </c>
      <c r="K523" s="108">
        <f t="shared" si="36"/>
        <v>0</v>
      </c>
      <c r="L523" s="89">
        <f t="shared" si="36"/>
        <v>3377541.4699999997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430075.24</v>
      </c>
      <c r="G525" s="18">
        <v>223666.44</v>
      </c>
      <c r="H525" s="18">
        <v>789.05</v>
      </c>
      <c r="I525" s="18">
        <v>3893.92</v>
      </c>
      <c r="J525" s="18"/>
      <c r="K525" s="18">
        <v>28.06</v>
      </c>
      <c r="L525" s="88">
        <f>SUM(F525:K525)</f>
        <v>658452.71000000008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61488.99</v>
      </c>
      <c r="G527" s="18">
        <v>26472.888999999999</v>
      </c>
      <c r="H527" s="18">
        <v>168.3</v>
      </c>
      <c r="I527" s="18">
        <v>729.81</v>
      </c>
      <c r="J527" s="18"/>
      <c r="K527" s="18">
        <v>10.55</v>
      </c>
      <c r="L527" s="88">
        <f>SUM(F527:K527)</f>
        <v>88870.539000000004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491564.23</v>
      </c>
      <c r="G528" s="89">
        <f t="shared" ref="G528:L528" si="37">SUM(G525:G527)</f>
        <v>250139.329</v>
      </c>
      <c r="H528" s="89">
        <f t="shared" si="37"/>
        <v>957.34999999999991</v>
      </c>
      <c r="I528" s="89">
        <f t="shared" si="37"/>
        <v>4623.7299999999996</v>
      </c>
      <c r="J528" s="89">
        <f t="shared" si="37"/>
        <v>0</v>
      </c>
      <c r="K528" s="89">
        <f t="shared" si="37"/>
        <v>38.61</v>
      </c>
      <c r="L528" s="89">
        <f t="shared" si="37"/>
        <v>747323.24900000007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83841.84</v>
      </c>
      <c r="G530" s="18">
        <v>28745.94</v>
      </c>
      <c r="H530" s="18">
        <v>2737.81</v>
      </c>
      <c r="I530" s="18">
        <v>338.32</v>
      </c>
      <c r="J530" s="18">
        <v>72.989999999999995</v>
      </c>
      <c r="K530" s="18">
        <v>1437.8</v>
      </c>
      <c r="L530" s="88">
        <f>SUM(F530:K530)</f>
        <v>117174.70000000001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31010</v>
      </c>
      <c r="G532" s="18">
        <v>10632.06</v>
      </c>
      <c r="H532" s="18">
        <v>1012.61</v>
      </c>
      <c r="I532" s="18">
        <v>125.13</v>
      </c>
      <c r="J532" s="18">
        <v>27</v>
      </c>
      <c r="K532" s="18">
        <v>531.79</v>
      </c>
      <c r="L532" s="88">
        <f>SUM(F532:K532)</f>
        <v>43338.59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114851.84</v>
      </c>
      <c r="G533" s="89">
        <f t="shared" ref="G533:L533" si="38">SUM(G530:G532)</f>
        <v>39378</v>
      </c>
      <c r="H533" s="89">
        <f t="shared" si="38"/>
        <v>3750.42</v>
      </c>
      <c r="I533" s="89">
        <f t="shared" si="38"/>
        <v>463.45</v>
      </c>
      <c r="J533" s="89">
        <f t="shared" si="38"/>
        <v>99.99</v>
      </c>
      <c r="K533" s="89">
        <f t="shared" si="38"/>
        <v>1969.59</v>
      </c>
      <c r="L533" s="89">
        <f t="shared" si="38"/>
        <v>160513.29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103766</v>
      </c>
      <c r="I540" s="18"/>
      <c r="J540" s="18"/>
      <c r="K540" s="18"/>
      <c r="L540" s="88">
        <f>SUM(F540:K540)</f>
        <v>103766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38379</v>
      </c>
      <c r="I542" s="18"/>
      <c r="J542" s="18"/>
      <c r="K542" s="18"/>
      <c r="L542" s="88">
        <f>SUM(F542:K542)</f>
        <v>38379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142145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142145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2621632.96</v>
      </c>
      <c r="G544" s="89">
        <f t="shared" ref="G544:L544" si="41">G523+G528+G533+G538+G543</f>
        <v>996658.50900000008</v>
      </c>
      <c r="H544" s="89">
        <f t="shared" si="41"/>
        <v>763348.19000000006</v>
      </c>
      <c r="I544" s="89">
        <f t="shared" si="41"/>
        <v>23044.52</v>
      </c>
      <c r="J544" s="89">
        <f t="shared" si="41"/>
        <v>20830.63</v>
      </c>
      <c r="K544" s="89">
        <f t="shared" si="41"/>
        <v>2008.1999999999998</v>
      </c>
      <c r="L544" s="89">
        <f t="shared" si="41"/>
        <v>4427523.0089999996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2514837.3899999997</v>
      </c>
      <c r="G548" s="87">
        <f>L525</f>
        <v>658452.71000000008</v>
      </c>
      <c r="H548" s="87">
        <f>L530</f>
        <v>117174.70000000001</v>
      </c>
      <c r="I548" s="87">
        <f>L535</f>
        <v>0</v>
      </c>
      <c r="J548" s="87">
        <f>L540</f>
        <v>103766</v>
      </c>
      <c r="K548" s="87">
        <f>SUM(F548:J548)</f>
        <v>3394230.8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862704.08000000007</v>
      </c>
      <c r="G550" s="87">
        <f>L527</f>
        <v>88870.539000000004</v>
      </c>
      <c r="H550" s="87">
        <f>L532</f>
        <v>43338.59</v>
      </c>
      <c r="I550" s="87">
        <f>L537</f>
        <v>0</v>
      </c>
      <c r="J550" s="87">
        <f>L542</f>
        <v>38379</v>
      </c>
      <c r="K550" s="87">
        <f>SUM(F550:J550)</f>
        <v>1033292.209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3377541.4699999997</v>
      </c>
      <c r="G551" s="89">
        <f t="shared" si="42"/>
        <v>747323.24900000007</v>
      </c>
      <c r="H551" s="89">
        <f t="shared" si="42"/>
        <v>160513.29</v>
      </c>
      <c r="I551" s="89">
        <f t="shared" si="42"/>
        <v>0</v>
      </c>
      <c r="J551" s="89">
        <f t="shared" si="42"/>
        <v>142145</v>
      </c>
      <c r="K551" s="89">
        <f t="shared" si="42"/>
        <v>4427523.0089999996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1314</v>
      </c>
      <c r="G578" s="18"/>
      <c r="H578" s="18">
        <v>78754.38</v>
      </c>
      <c r="I578" s="87">
        <f t="shared" si="47"/>
        <v>80068.38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132734.79</v>
      </c>
      <c r="G581" s="18"/>
      <c r="H581" s="18">
        <v>88993.79</v>
      </c>
      <c r="I581" s="87">
        <f t="shared" si="47"/>
        <v>221728.58000000002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91437.81</v>
      </c>
      <c r="G582" s="18"/>
      <c r="H582" s="18"/>
      <c r="I582" s="87">
        <f t="shared" si="47"/>
        <v>91437.81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83115</v>
      </c>
      <c r="I583" s="87">
        <f t="shared" si="47"/>
        <v>83115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152586.46</v>
      </c>
      <c r="I590" s="18"/>
      <c r="J590" s="18">
        <v>56295.54</v>
      </c>
      <c r="K590" s="104">
        <f t="shared" ref="K590:K596" si="48">SUM(H590:J590)</f>
        <v>208882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103766.14</v>
      </c>
      <c r="I591" s="18"/>
      <c r="J591" s="18">
        <v>38379.26</v>
      </c>
      <c r="K591" s="104">
        <f t="shared" si="48"/>
        <v>142145.4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35744</v>
      </c>
      <c r="K592" s="104">
        <f t="shared" si="48"/>
        <v>35744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13444.05</v>
      </c>
      <c r="I593" s="18"/>
      <c r="J593" s="18">
        <v>15160.31</v>
      </c>
      <c r="K593" s="104">
        <f t="shared" si="48"/>
        <v>28604.36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10312.129999999999</v>
      </c>
      <c r="I594" s="18"/>
      <c r="J594" s="18">
        <v>4006.22</v>
      </c>
      <c r="K594" s="104">
        <f t="shared" si="48"/>
        <v>14318.349999999999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280108.77999999997</v>
      </c>
      <c r="I597" s="108">
        <f>SUM(I590:I596)</f>
        <v>0</v>
      </c>
      <c r="J597" s="108">
        <f>SUM(J590:J596)</f>
        <v>149585.33000000002</v>
      </c>
      <c r="K597" s="108">
        <f>SUM(K590:K596)</f>
        <v>429694.11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80199.94</v>
      </c>
      <c r="I603" s="18"/>
      <c r="J603" s="18">
        <v>41046.82</v>
      </c>
      <c r="K603" s="104">
        <f>SUM(H603:J603)</f>
        <v>121246.76000000001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80199.94</v>
      </c>
      <c r="I604" s="108">
        <f>SUM(I601:I603)</f>
        <v>0</v>
      </c>
      <c r="J604" s="108">
        <f>SUM(J601:J603)</f>
        <v>41046.82</v>
      </c>
      <c r="K604" s="108">
        <f>SUM(K601:K603)</f>
        <v>121246.76000000001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5400</v>
      </c>
      <c r="G612" s="18">
        <v>896.25</v>
      </c>
      <c r="H612" s="18"/>
      <c r="I612" s="18"/>
      <c r="J612" s="18"/>
      <c r="K612" s="18"/>
      <c r="L612" s="88">
        <f>SUM(F612:K612)</f>
        <v>6296.25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5400</v>
      </c>
      <c r="G613" s="108">
        <f t="shared" si="49"/>
        <v>896.25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6296.25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694753.64</v>
      </c>
      <c r="H616" s="109">
        <f>SUM(F51)</f>
        <v>694753.64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24142.240000000002</v>
      </c>
      <c r="H617" s="109">
        <f>SUM(G51)</f>
        <v>24142.240000000002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116281.73</v>
      </c>
      <c r="H618" s="109">
        <f>SUM(H51)</f>
        <v>116281.73000000001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1620840.9100000001</v>
      </c>
      <c r="H620" s="109">
        <f>SUM(J51)</f>
        <v>1620840.91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349551.39</v>
      </c>
      <c r="H621" s="109">
        <f>F475</f>
        <v>349551.3900000006</v>
      </c>
      <c r="I621" s="121" t="s">
        <v>101</v>
      </c>
      <c r="J621" s="109">
        <f t="shared" ref="J621:J654" si="50">G621-H621</f>
        <v>-5.8207660913467407E-10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24142.240000000002</v>
      </c>
      <c r="H622" s="109">
        <f>G475</f>
        <v>24142.239999999991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10775.16</v>
      </c>
      <c r="H623" s="109">
        <f>H475</f>
        <v>10775.160000000033</v>
      </c>
      <c r="I623" s="121" t="s">
        <v>103</v>
      </c>
      <c r="J623" s="109">
        <f t="shared" si="50"/>
        <v>-3.2741809263825417E-11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1537814.51</v>
      </c>
      <c r="H625" s="109">
        <f>J475</f>
        <v>1537814.51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15734490.970000003</v>
      </c>
      <c r="H626" s="104">
        <f>SUM(F467)</f>
        <v>15734490.970000001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294306.50999999995</v>
      </c>
      <c r="H627" s="104">
        <f>SUM(G467)</f>
        <v>294306.51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633788.82999999996</v>
      </c>
      <c r="H628" s="104">
        <f>SUM(H467)</f>
        <v>633788.82999999996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169795.41</v>
      </c>
      <c r="H630" s="104">
        <f>SUM(J467)</f>
        <v>169795.41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15529019.577999998</v>
      </c>
      <c r="H631" s="104">
        <f>SUM(F471)</f>
        <v>15529019.58</v>
      </c>
      <c r="I631" s="140" t="s">
        <v>111</v>
      </c>
      <c r="J631" s="109">
        <f t="shared" si="50"/>
        <v>-2.0000021904706955E-3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627591.84</v>
      </c>
      <c r="H632" s="104">
        <f>SUM(H471)</f>
        <v>627591.84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107258.08</v>
      </c>
      <c r="H633" s="104">
        <f>I368</f>
        <v>107258.08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270164.27</v>
      </c>
      <c r="H634" s="104">
        <f>SUM(G471)</f>
        <v>270164.27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169795.41</v>
      </c>
      <c r="H636" s="164">
        <f>SUM(J467)</f>
        <v>169795.41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228426.50999999998</v>
      </c>
      <c r="H637" s="164">
        <f>SUM(J471)</f>
        <v>228426.51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1130812.3</v>
      </c>
      <c r="H638" s="104">
        <f>SUM(F460)</f>
        <v>1130812.3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490028.61</v>
      </c>
      <c r="H639" s="104">
        <f>SUM(G460)</f>
        <v>490028.61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1620840.9100000001</v>
      </c>
      <c r="H641" s="104">
        <f>SUM(I460)</f>
        <v>1620840.91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715.41</v>
      </c>
      <c r="H643" s="104">
        <f>H407</f>
        <v>715.41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169080</v>
      </c>
      <c r="H644" s="104">
        <f>G407</f>
        <v>169080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169795.41</v>
      </c>
      <c r="H645" s="104">
        <f>L407</f>
        <v>169795.41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429694.11</v>
      </c>
      <c r="H646" s="104">
        <f>L207+L225+L243</f>
        <v>429694.11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121246.76000000001</v>
      </c>
      <c r="H647" s="104">
        <f>(J256+J337)-(J254+J335)</f>
        <v>121246.758</v>
      </c>
      <c r="I647" s="140" t="s">
        <v>703</v>
      </c>
      <c r="J647" s="109">
        <f t="shared" si="50"/>
        <v>2.0000000076834112E-3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280108.78000000003</v>
      </c>
      <c r="H648" s="104">
        <f>H597</f>
        <v>280108.77999999997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149585.32999999999</v>
      </c>
      <c r="H650" s="104">
        <f>J597</f>
        <v>149585.33000000002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747.57</v>
      </c>
      <c r="H651" s="104">
        <f>K262+K344</f>
        <v>747.57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169080</v>
      </c>
      <c r="H654" s="104">
        <f>K265+K346</f>
        <v>169080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11095135.337999998</v>
      </c>
      <c r="G659" s="19">
        <f>(L228+L308+L358)</f>
        <v>0</v>
      </c>
      <c r="H659" s="19">
        <f>(L246+L327+L359)</f>
        <v>4308946.37</v>
      </c>
      <c r="I659" s="19">
        <f>SUM(F659:H659)</f>
        <v>15404081.707999997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110192.08713303834</v>
      </c>
      <c r="G660" s="19">
        <f>(L358/IF(SUM(L357:L359)=0,1,SUM(L357:L359))*(SUM(G96:G109)))</f>
        <v>0</v>
      </c>
      <c r="H660" s="19">
        <f>(L359/IF(SUM(L357:L359)=0,1,SUM(L357:L359))*(SUM(G96:G109)))</f>
        <v>40755.98286696164</v>
      </c>
      <c r="I660" s="19">
        <f>SUM(F660:H660)</f>
        <v>150948.06999999998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280567.03000000003</v>
      </c>
      <c r="G661" s="19">
        <f>(L225+L305)-(J225+J305)</f>
        <v>0</v>
      </c>
      <c r="H661" s="19">
        <f>(L243+L324)-(J243+J324)</f>
        <v>149585.32999999999</v>
      </c>
      <c r="I661" s="19">
        <f>SUM(F661:H661)</f>
        <v>430152.36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305686.54000000004</v>
      </c>
      <c r="G662" s="200">
        <f>SUM(G574:G586)+SUM(I601:I603)+L611</f>
        <v>0</v>
      </c>
      <c r="H662" s="200">
        <f>SUM(H574:H586)+SUM(J601:J603)+L612</f>
        <v>298206.24</v>
      </c>
      <c r="I662" s="19">
        <f>SUM(F662:H662)</f>
        <v>603892.78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10398689.680866959</v>
      </c>
      <c r="G663" s="19">
        <f>G659-SUM(G660:G662)</f>
        <v>0</v>
      </c>
      <c r="H663" s="19">
        <f>H659-SUM(H660:H662)</f>
        <v>3820398.8171330383</v>
      </c>
      <c r="I663" s="19">
        <f>I659-SUM(I660:I662)</f>
        <v>14219088.497999996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702.1</v>
      </c>
      <c r="G664" s="249"/>
      <c r="H664" s="249">
        <v>254.65</v>
      </c>
      <c r="I664" s="19">
        <f>SUM(F664:H664)</f>
        <v>956.75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14810.84</v>
      </c>
      <c r="G666" s="19" t="e">
        <f>ROUND(G663/G664,2)</f>
        <v>#DIV/0!</v>
      </c>
      <c r="H666" s="19">
        <f>ROUND(H663/H664,2)</f>
        <v>15002.55</v>
      </c>
      <c r="I666" s="19">
        <f>ROUND(I663/I664,2)</f>
        <v>14861.86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-18.73</v>
      </c>
      <c r="I669" s="19">
        <f>SUM(F669:H669)</f>
        <v>-18.73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14810.84</v>
      </c>
      <c r="G671" s="19" t="e">
        <f>ROUND((G663+G668)/(G664+G669),2)</f>
        <v>#DIV/0!</v>
      </c>
      <c r="H671" s="19">
        <f>ROUND((H663+H668)/(H664+H669),2)</f>
        <v>16193.62</v>
      </c>
      <c r="I671" s="19">
        <f>ROUND((I663+I668)/(I664+I669),2)</f>
        <v>15158.62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Newmarket SD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3753475.15</v>
      </c>
      <c r="C9" s="230">
        <f>'DOE25'!G196+'DOE25'!G214+'DOE25'!G232+'DOE25'!G275+'DOE25'!G294+'DOE25'!G313</f>
        <v>1797983.62</v>
      </c>
    </row>
    <row r="10" spans="1:3" x14ac:dyDescent="0.2">
      <c r="A10" t="s">
        <v>779</v>
      </c>
      <c r="B10" s="241">
        <v>3640479.25</v>
      </c>
      <c r="C10" s="241">
        <v>1781644.41</v>
      </c>
    </row>
    <row r="11" spans="1:3" x14ac:dyDescent="0.2">
      <c r="A11" t="s">
        <v>780</v>
      </c>
      <c r="B11" s="241">
        <v>31618.959999999999</v>
      </c>
      <c r="C11" s="241">
        <v>4572.1000000000004</v>
      </c>
    </row>
    <row r="12" spans="1:3" x14ac:dyDescent="0.2">
      <c r="A12" t="s">
        <v>781</v>
      </c>
      <c r="B12" s="241">
        <v>81376.94</v>
      </c>
      <c r="C12" s="241">
        <v>11767.11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3753475.15</v>
      </c>
      <c r="C13" s="232">
        <f>SUM(C10:C12)</f>
        <v>1797983.62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2015216.89</v>
      </c>
      <c r="C18" s="230">
        <f>'DOE25'!G197+'DOE25'!G215+'DOE25'!G233+'DOE25'!G276+'DOE25'!G295+'DOE25'!G314</f>
        <v>707141.18</v>
      </c>
    </row>
    <row r="19" spans="1:3" x14ac:dyDescent="0.2">
      <c r="A19" t="s">
        <v>779</v>
      </c>
      <c r="B19" s="241">
        <v>1307646.54</v>
      </c>
      <c r="C19" s="241">
        <v>604826.51</v>
      </c>
    </row>
    <row r="20" spans="1:3" x14ac:dyDescent="0.2">
      <c r="A20" t="s">
        <v>780</v>
      </c>
      <c r="B20" s="241">
        <v>670659.21</v>
      </c>
      <c r="C20" s="241">
        <v>96977.32</v>
      </c>
    </row>
    <row r="21" spans="1:3" x14ac:dyDescent="0.2">
      <c r="A21" t="s">
        <v>781</v>
      </c>
      <c r="B21" s="241">
        <v>36911.14</v>
      </c>
      <c r="C21" s="241">
        <v>5337.35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2015216.89</v>
      </c>
      <c r="C22" s="232">
        <f>SUM(C19:C21)</f>
        <v>707141.18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29099.5</v>
      </c>
      <c r="C27" s="235">
        <f>'DOE25'!G198+'DOE25'!G216+'DOE25'!G234+'DOE25'!G277+'DOE25'!G296+'DOE25'!G315</f>
        <v>9377.81</v>
      </c>
    </row>
    <row r="28" spans="1:3" x14ac:dyDescent="0.2">
      <c r="A28" t="s">
        <v>779</v>
      </c>
      <c r="B28" s="241">
        <v>29099.5</v>
      </c>
      <c r="C28" s="241">
        <v>9377.81</v>
      </c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29099.5</v>
      </c>
      <c r="C31" s="232">
        <f>SUM(C28:C30)</f>
        <v>9377.81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416583.04</v>
      </c>
      <c r="C36" s="236">
        <f>'DOE25'!G199+'DOE25'!G217+'DOE25'!G235+'DOE25'!G278+'DOE25'!G297+'DOE25'!G316</f>
        <v>145282.53</v>
      </c>
    </row>
    <row r="37" spans="1:3" x14ac:dyDescent="0.2">
      <c r="A37" t="s">
        <v>779</v>
      </c>
      <c r="B37" s="241">
        <v>176681</v>
      </c>
      <c r="C37" s="241">
        <v>110592.7</v>
      </c>
    </row>
    <row r="38" spans="1:3" x14ac:dyDescent="0.2">
      <c r="A38" t="s">
        <v>780</v>
      </c>
      <c r="B38" s="241">
        <v>148449.54</v>
      </c>
      <c r="C38" s="241">
        <v>21465.8</v>
      </c>
    </row>
    <row r="39" spans="1:3" x14ac:dyDescent="0.2">
      <c r="A39" t="s">
        <v>781</v>
      </c>
      <c r="B39" s="241">
        <v>91452.5</v>
      </c>
      <c r="C39" s="241">
        <v>13224.03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416583.04000000004</v>
      </c>
      <c r="C40" s="232">
        <f>SUM(C37:C39)</f>
        <v>145282.53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Newmarket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9287375.3200000003</v>
      </c>
      <c r="D5" s="20">
        <f>SUM('DOE25'!L196:L199)+SUM('DOE25'!L214:L217)+SUM('DOE25'!L232:L235)-F5-G5</f>
        <v>9241836.2400000002</v>
      </c>
      <c r="E5" s="244"/>
      <c r="F5" s="256">
        <f>SUM('DOE25'!J196:J199)+SUM('DOE25'!J214:J217)+SUM('DOE25'!J232:J235)</f>
        <v>25586.57</v>
      </c>
      <c r="G5" s="53">
        <f>SUM('DOE25'!K196:K199)+SUM('DOE25'!K214:K217)+SUM('DOE25'!K232:K235)</f>
        <v>19952.510000000002</v>
      </c>
      <c r="H5" s="260"/>
    </row>
    <row r="6" spans="1:9" x14ac:dyDescent="0.2">
      <c r="A6" s="32">
        <v>2100</v>
      </c>
      <c r="B6" t="s">
        <v>801</v>
      </c>
      <c r="C6" s="246">
        <f t="shared" si="0"/>
        <v>1168143.3999999999</v>
      </c>
      <c r="D6" s="20">
        <f>'DOE25'!L201+'DOE25'!L219+'DOE25'!L237-F6-G6</f>
        <v>1167944.3999999999</v>
      </c>
      <c r="E6" s="244"/>
      <c r="F6" s="256">
        <f>'DOE25'!J201+'DOE25'!J219+'DOE25'!J237</f>
        <v>0</v>
      </c>
      <c r="G6" s="53">
        <f>'DOE25'!K201+'DOE25'!K219+'DOE25'!K237</f>
        <v>199</v>
      </c>
      <c r="H6" s="260"/>
    </row>
    <row r="7" spans="1:9" x14ac:dyDescent="0.2">
      <c r="A7" s="32">
        <v>2200</v>
      </c>
      <c r="B7" t="s">
        <v>834</v>
      </c>
      <c r="C7" s="246">
        <f t="shared" si="0"/>
        <v>720770.98</v>
      </c>
      <c r="D7" s="20">
        <f>'DOE25'!L202+'DOE25'!L220+'DOE25'!L238-F7-G7</f>
        <v>650161.99</v>
      </c>
      <c r="E7" s="244"/>
      <c r="F7" s="256">
        <f>'DOE25'!J202+'DOE25'!J220+'DOE25'!J238</f>
        <v>70380.98000000001</v>
      </c>
      <c r="G7" s="53">
        <f>'DOE25'!K202+'DOE25'!K220+'DOE25'!K238</f>
        <v>228.01</v>
      </c>
      <c r="H7" s="260"/>
    </row>
    <row r="8" spans="1:9" x14ac:dyDescent="0.2">
      <c r="A8" s="32">
        <v>2300</v>
      </c>
      <c r="B8" t="s">
        <v>802</v>
      </c>
      <c r="C8" s="246">
        <f t="shared" si="0"/>
        <v>174513.29800000007</v>
      </c>
      <c r="D8" s="244"/>
      <c r="E8" s="20">
        <f>'DOE25'!L203+'DOE25'!L221+'DOE25'!L239-F8-G8-D9-D11</f>
        <v>154944.69000000009</v>
      </c>
      <c r="F8" s="256">
        <f>'DOE25'!J203+'DOE25'!J221+'DOE25'!J239</f>
        <v>1084.3679999999999</v>
      </c>
      <c r="G8" s="53">
        <f>'DOE25'!K203+'DOE25'!K221+'DOE25'!K239</f>
        <v>18484.239999999998</v>
      </c>
      <c r="H8" s="260"/>
    </row>
    <row r="9" spans="1:9" x14ac:dyDescent="0.2">
      <c r="A9" s="32">
        <v>2310</v>
      </c>
      <c r="B9" t="s">
        <v>818</v>
      </c>
      <c r="C9" s="246">
        <f t="shared" si="0"/>
        <v>157863.57999999999</v>
      </c>
      <c r="D9" s="245">
        <v>157863.57999999999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14000</v>
      </c>
      <c r="D10" s="244"/>
      <c r="E10" s="245">
        <v>14000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218232.78</v>
      </c>
      <c r="D11" s="245">
        <v>218232.78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841631.35</v>
      </c>
      <c r="D12" s="20">
        <f>'DOE25'!L204+'DOE25'!L222+'DOE25'!L240-F12-G12</f>
        <v>821239.6</v>
      </c>
      <c r="E12" s="244"/>
      <c r="F12" s="256">
        <f>'DOE25'!J204+'DOE25'!J222+'DOE25'!J240</f>
        <v>0</v>
      </c>
      <c r="G12" s="53">
        <f>'DOE25'!K204+'DOE25'!K222+'DOE25'!K240</f>
        <v>20391.75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253404.96000000002</v>
      </c>
      <c r="D13" s="244"/>
      <c r="E13" s="20">
        <f>'DOE25'!L205+'DOE25'!L223+'DOE25'!L241-F13-G13</f>
        <v>250246.62000000002</v>
      </c>
      <c r="F13" s="256">
        <f>'DOE25'!J205+'DOE25'!J223+'DOE25'!J241</f>
        <v>1476.5600000000002</v>
      </c>
      <c r="G13" s="53">
        <f>'DOE25'!K205+'DOE25'!K223+'DOE25'!K241</f>
        <v>1681.78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1256552.6200000001</v>
      </c>
      <c r="D14" s="20">
        <f>'DOE25'!L206+'DOE25'!L224+'DOE25'!L242-F14-G14</f>
        <v>1250456.8500000001</v>
      </c>
      <c r="E14" s="244"/>
      <c r="F14" s="256">
        <f>'DOE25'!J206+'DOE25'!J224+'DOE25'!J242</f>
        <v>6095.77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429694.11</v>
      </c>
      <c r="D15" s="20">
        <f>'DOE25'!L207+'DOE25'!L225+'DOE25'!L243-F15-G15</f>
        <v>429694.11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851009.61</v>
      </c>
      <c r="D22" s="244"/>
      <c r="E22" s="244"/>
      <c r="F22" s="256">
        <f>'DOE25'!L254+'DOE25'!L335</f>
        <v>851009.61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168550.21000000002</v>
      </c>
      <c r="D29" s="20">
        <f>'DOE25'!L357+'DOE25'!L358+'DOE25'!L359-'DOE25'!I366-F29-G29</f>
        <v>168401.47000000003</v>
      </c>
      <c r="E29" s="244"/>
      <c r="F29" s="256">
        <f>'DOE25'!J357+'DOE25'!J358+'DOE25'!J359</f>
        <v>148.74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625735.03999999992</v>
      </c>
      <c r="D31" s="20">
        <f>'DOE25'!L289+'DOE25'!L308+'DOE25'!L327+'DOE25'!L332+'DOE25'!L333+'DOE25'!L334-F31-G31</f>
        <v>608949.25999999989</v>
      </c>
      <c r="E31" s="244"/>
      <c r="F31" s="256">
        <f>'DOE25'!J289+'DOE25'!J308+'DOE25'!J327+'DOE25'!J332+'DOE25'!J333+'DOE25'!J334</f>
        <v>16622.510000000002</v>
      </c>
      <c r="G31" s="53">
        <f>'DOE25'!K289+'DOE25'!K308+'DOE25'!K327+'DOE25'!K332+'DOE25'!K333+'DOE25'!K334</f>
        <v>163.26999999999998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14714780.279999999</v>
      </c>
      <c r="E33" s="247">
        <f>SUM(E5:E31)</f>
        <v>419191.31000000011</v>
      </c>
      <c r="F33" s="247">
        <f>SUM(F5:F31)</f>
        <v>972405.10800000001</v>
      </c>
      <c r="G33" s="247">
        <f>SUM(G5:G31)</f>
        <v>61100.55999999999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419191.31000000011</v>
      </c>
      <c r="E35" s="250"/>
    </row>
    <row r="36" spans="2:8" ht="12" thickTop="1" x14ac:dyDescent="0.2">
      <c r="B36" t="s">
        <v>815</v>
      </c>
      <c r="D36" s="20">
        <f>D33</f>
        <v>14714780.279999999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Newmarket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458617.88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1620840.9100000001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3.11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98487.02</v>
      </c>
      <c r="D11" s="95">
        <f>'DOE25'!G12</f>
        <v>0</v>
      </c>
      <c r="E11" s="95">
        <f>'DOE25'!H12</f>
        <v>116281.73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6185.83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129600.85</v>
      </c>
      <c r="D13" s="95">
        <f>'DOE25'!G14</f>
        <v>7019.55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10936.86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8044.68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0.1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694753.64</v>
      </c>
      <c r="D18" s="41">
        <f>SUM(D8:D17)</f>
        <v>24142.240000000002</v>
      </c>
      <c r="E18" s="41">
        <f>SUM(E8:E17)</f>
        <v>116281.73</v>
      </c>
      <c r="F18" s="41">
        <f>SUM(F8:F17)</f>
        <v>0</v>
      </c>
      <c r="G18" s="41">
        <f>SUM(G8:G17)</f>
        <v>1620840.9100000001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105506.57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306500.8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83026.399999999994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38701.449999999997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345202.25</v>
      </c>
      <c r="D31" s="41">
        <f>SUM(D21:D30)</f>
        <v>0</v>
      </c>
      <c r="E31" s="41">
        <f>SUM(E21:E30)</f>
        <v>105506.57</v>
      </c>
      <c r="F31" s="41">
        <f>SUM(F21:F30)</f>
        <v>0</v>
      </c>
      <c r="G31" s="41">
        <f>SUM(G21:G30)</f>
        <v>83026.399999999994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1537814.51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24142.240000000002</v>
      </c>
      <c r="E47" s="95">
        <f>'DOE25'!H48</f>
        <v>10775.16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349551.39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349551.39</v>
      </c>
      <c r="D49" s="41">
        <f>SUM(D34:D48)</f>
        <v>24142.240000000002</v>
      </c>
      <c r="E49" s="41">
        <f>SUM(E34:E48)</f>
        <v>10775.16</v>
      </c>
      <c r="F49" s="41">
        <f>SUM(F34:F48)</f>
        <v>0</v>
      </c>
      <c r="G49" s="41">
        <f>SUM(G34:G48)</f>
        <v>1537814.51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694753.64</v>
      </c>
      <c r="D50" s="41">
        <f>D49+D31</f>
        <v>24142.240000000002</v>
      </c>
      <c r="E50" s="41">
        <f>E49+E31</f>
        <v>116281.73000000001</v>
      </c>
      <c r="F50" s="41">
        <f>F49+F31</f>
        <v>0</v>
      </c>
      <c r="G50" s="41">
        <f>G49+G31</f>
        <v>1620840.91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11112431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34455.050000000003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7210.09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715.41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145890.76999999999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11237.3</v>
      </c>
      <c r="D60" s="95">
        <f>SUM('DOE25'!G97:G109)</f>
        <v>5057.3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52902.44</v>
      </c>
      <c r="D61" s="130">
        <f>SUM(D56:D60)</f>
        <v>150948.06999999998</v>
      </c>
      <c r="E61" s="130">
        <f>SUM(E56:E60)</f>
        <v>0</v>
      </c>
      <c r="F61" s="130">
        <f>SUM(F56:F60)</f>
        <v>0</v>
      </c>
      <c r="G61" s="130">
        <f>SUM(G56:G60)</f>
        <v>715.41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11165333.439999999</v>
      </c>
      <c r="D62" s="22">
        <f>D55+D61</f>
        <v>150948.06999999998</v>
      </c>
      <c r="E62" s="22">
        <f>E55+E61</f>
        <v>0</v>
      </c>
      <c r="F62" s="22">
        <f>F55+F61</f>
        <v>0</v>
      </c>
      <c r="G62" s="22">
        <f>G55+G61</f>
        <v>715.41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2278114.16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1756331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1973.84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13282.41</v>
      </c>
      <c r="D68" s="95">
        <f>'DOE25'!G119</f>
        <v>3650.01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4049701.41</v>
      </c>
      <c r="D69" s="139">
        <f>D68</f>
        <v>3650.01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82698.89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8288.02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3150</v>
      </c>
      <c r="D76" s="95">
        <f>SUM('DOE25'!G130:G134)</f>
        <v>124346.86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94136.91</v>
      </c>
      <c r="D77" s="130">
        <f>SUM(D71:D76)</f>
        <v>124346.86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4143838.3200000003</v>
      </c>
      <c r="D80" s="130">
        <f>SUM(D78:D79)+D77+D69</f>
        <v>127996.87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1.32</v>
      </c>
      <c r="D84" s="95">
        <f>'DOE25'!G146</f>
        <v>14614</v>
      </c>
      <c r="E84" s="95">
        <f>'DOE25'!H146</f>
        <v>85715.28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195034.58</v>
      </c>
      <c r="D87" s="95">
        <f>SUM('DOE25'!G152:G160)</f>
        <v>0</v>
      </c>
      <c r="E87" s="95">
        <f>SUM('DOE25'!H152:H160)</f>
        <v>529448.05999999994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18625.490000000002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195035.9</v>
      </c>
      <c r="D90" s="131">
        <f>SUM(D84:D89)</f>
        <v>14614</v>
      </c>
      <c r="E90" s="131">
        <f>SUM(E84:E89)</f>
        <v>633788.82999999996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747.57</v>
      </c>
      <c r="E95" s="95">
        <f>'DOE25'!H178</f>
        <v>0</v>
      </c>
      <c r="F95" s="95">
        <f>'DOE25'!I178</f>
        <v>0</v>
      </c>
      <c r="G95" s="95">
        <f>'DOE25'!J178</f>
        <v>169080</v>
      </c>
    </row>
    <row r="96" spans="1:9" x14ac:dyDescent="0.2">
      <c r="A96" t="s">
        <v>758</v>
      </c>
      <c r="B96" s="32" t="s">
        <v>188</v>
      </c>
      <c r="C96" s="95">
        <f>SUM('DOE25'!F179:F180)</f>
        <v>1856.8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228426.51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230283.31</v>
      </c>
      <c r="D102" s="86">
        <f>SUM(D92:D101)</f>
        <v>747.57</v>
      </c>
      <c r="E102" s="86">
        <f>SUM(E92:E101)</f>
        <v>0</v>
      </c>
      <c r="F102" s="86">
        <f>SUM(F92:F101)</f>
        <v>0</v>
      </c>
      <c r="G102" s="86">
        <f>SUM(G92:G101)</f>
        <v>169080</v>
      </c>
    </row>
    <row r="103" spans="1:7" ht="12.75" thickTop="1" thickBot="1" x14ac:dyDescent="0.25">
      <c r="A103" s="33" t="s">
        <v>765</v>
      </c>
      <c r="C103" s="86">
        <f>C62+C80+C90+C102</f>
        <v>15734490.970000001</v>
      </c>
      <c r="D103" s="86">
        <f>D62+D80+D90+D102</f>
        <v>294306.50999999995</v>
      </c>
      <c r="E103" s="86">
        <f>E62+E80+E90+E102</f>
        <v>633788.82999999996</v>
      </c>
      <c r="F103" s="86">
        <f>F62+F80+F90+F102</f>
        <v>0</v>
      </c>
      <c r="G103" s="86">
        <f>G62+G80+G102</f>
        <v>169795.41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5479779.1299999999</v>
      </c>
      <c r="D108" s="24" t="s">
        <v>289</v>
      </c>
      <c r="E108" s="95">
        <f>('DOE25'!L275)+('DOE25'!L294)+('DOE25'!L313)</f>
        <v>256667.33999999997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3087482.38</v>
      </c>
      <c r="D109" s="24" t="s">
        <v>289</v>
      </c>
      <c r="E109" s="95">
        <f>('DOE25'!L276)+('DOE25'!L295)+('DOE25'!L314)</f>
        <v>290059.08999999997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123239.14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596874.67000000004</v>
      </c>
      <c r="D111" s="24" t="s">
        <v>289</v>
      </c>
      <c r="E111" s="95">
        <f>+('DOE25'!L278)+('DOE25'!L297)+('DOE25'!L316)</f>
        <v>8269.619999999999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9287375.3200000003</v>
      </c>
      <c r="D114" s="86">
        <f>SUM(D108:D113)</f>
        <v>0</v>
      </c>
      <c r="E114" s="86">
        <f>SUM(E108:E113)</f>
        <v>554996.04999999993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1168143.3999999999</v>
      </c>
      <c r="D117" s="24" t="s">
        <v>289</v>
      </c>
      <c r="E117" s="95">
        <f>+('DOE25'!L280)+('DOE25'!L299)+('DOE25'!L318)</f>
        <v>6353.17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720770.98</v>
      </c>
      <c r="D118" s="24" t="s">
        <v>289</v>
      </c>
      <c r="E118" s="95">
        <f>+('DOE25'!L281)+('DOE25'!L300)+('DOE25'!L319)</f>
        <v>63410.82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550609.65800000005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841631.35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253404.96000000002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1256552.6200000001</v>
      </c>
      <c r="D122" s="24" t="s">
        <v>289</v>
      </c>
      <c r="E122" s="95">
        <f>+('DOE25'!L285)+('DOE25'!L304)+('DOE25'!L323)</f>
        <v>516.75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429694.11</v>
      </c>
      <c r="D123" s="24" t="s">
        <v>289</v>
      </c>
      <c r="E123" s="95">
        <f>+('DOE25'!L286)+('DOE25'!L305)+('DOE25'!L324)</f>
        <v>458.25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270164.27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5220807.0780000007</v>
      </c>
      <c r="D127" s="86">
        <f>SUM(D117:D126)</f>
        <v>270164.27</v>
      </c>
      <c r="E127" s="86">
        <f>SUM(E117:E126)</f>
        <v>70738.990000000005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851009.61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1856.8</v>
      </c>
      <c r="F133" s="95">
        <f>'DOE25'!K380</f>
        <v>0</v>
      </c>
      <c r="G133" s="95">
        <f>'DOE25'!K433</f>
        <v>228426.50999999998</v>
      </c>
    </row>
    <row r="134" spans="1:7" x14ac:dyDescent="0.2">
      <c r="A134" t="s">
        <v>233</v>
      </c>
      <c r="B134" s="32" t="s">
        <v>234</v>
      </c>
      <c r="C134" s="95">
        <f>'DOE25'!L262</f>
        <v>747.57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83162.850000000006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86632.56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-715.41000000000349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1020837.1799999998</v>
      </c>
      <c r="D143" s="141">
        <f>SUM(D129:D142)</f>
        <v>0</v>
      </c>
      <c r="E143" s="141">
        <f>SUM(E129:E142)</f>
        <v>1856.8</v>
      </c>
      <c r="F143" s="141">
        <f>SUM(F129:F142)</f>
        <v>0</v>
      </c>
      <c r="G143" s="141">
        <f>SUM(G129:G142)</f>
        <v>228426.50999999998</v>
      </c>
    </row>
    <row r="144" spans="1:7" ht="12.75" thickTop="1" thickBot="1" x14ac:dyDescent="0.25">
      <c r="A144" s="33" t="s">
        <v>244</v>
      </c>
      <c r="C144" s="86">
        <f>(C114+C127+C143)</f>
        <v>15529019.578000002</v>
      </c>
      <c r="D144" s="86">
        <f>(D114+D127+D143)</f>
        <v>270164.27</v>
      </c>
      <c r="E144" s="86">
        <f>(E114+E127+E143)</f>
        <v>627591.84</v>
      </c>
      <c r="F144" s="86">
        <f>(F114+F127+F143)</f>
        <v>0</v>
      </c>
      <c r="G144" s="86">
        <f>(G114+G127+G143)</f>
        <v>228426.50999999998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Newmarket SD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14811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16194</v>
      </c>
    </row>
    <row r="7" spans="1:4" x14ac:dyDescent="0.2">
      <c r="B7" t="s">
        <v>705</v>
      </c>
      <c r="C7" s="179">
        <f>IF('DOE25'!I664+'DOE25'!I669=0,0,ROUND('DOE25'!I671,0))</f>
        <v>15159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5736446</v>
      </c>
      <c r="D10" s="182">
        <f>ROUND((C10/$C$28)*100,1)</f>
        <v>37.6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3377541</v>
      </c>
      <c r="D11" s="182">
        <f>ROUND((C11/$C$28)*100,1)</f>
        <v>22.1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123239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605144</v>
      </c>
      <c r="D13" s="182">
        <f>ROUND((C13/$C$28)*100,1)</f>
        <v>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1174497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784182</v>
      </c>
      <c r="D16" s="182">
        <f t="shared" si="0"/>
        <v>5.0999999999999996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550610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841631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253405</v>
      </c>
      <c r="D19" s="182">
        <f t="shared" si="0"/>
        <v>1.7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1257069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430152</v>
      </c>
      <c r="D21" s="182">
        <f t="shared" si="0"/>
        <v>2.8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119215.93000000002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15253131.93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851010</v>
      </c>
    </row>
    <row r="30" spans="1:4" x14ac:dyDescent="0.2">
      <c r="B30" s="187" t="s">
        <v>729</v>
      </c>
      <c r="C30" s="180">
        <f>SUM(C28:C29)</f>
        <v>16104141.93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11112431</v>
      </c>
      <c r="D35" s="182">
        <f t="shared" ref="D35:D40" si="1">ROUND((C35/$C$41)*100,1)</f>
        <v>68.3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53617.85000000149</v>
      </c>
      <c r="D36" s="182">
        <f t="shared" si="1"/>
        <v>0.3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4036419</v>
      </c>
      <c r="D37" s="182">
        <f t="shared" si="1"/>
        <v>24.8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235416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843439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16281322.850000001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Newmarket SD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>
        <v>2</v>
      </c>
      <c r="B4" s="220">
        <v>3</v>
      </c>
      <c r="C4" s="280" t="s">
        <v>910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2012-10-25T17:16:23Z</cp:lastPrinted>
  <dcterms:created xsi:type="dcterms:W3CDTF">1997-12-04T19:04:30Z</dcterms:created>
  <dcterms:modified xsi:type="dcterms:W3CDTF">2012-11-21T15:15:48Z</dcterms:modified>
</cp:coreProperties>
</file>