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22140" windowHeight="11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1" i="1" l="1"/>
  <c r="H467" i="1"/>
  <c r="C19" i="12"/>
  <c r="C10" i="12"/>
  <c r="B10" i="12"/>
  <c r="B19" i="12"/>
  <c r="I520" i="1"/>
  <c r="H520" i="1"/>
  <c r="G520" i="1"/>
  <c r="F520" i="1"/>
  <c r="F276" i="1"/>
  <c r="F525" i="1"/>
  <c r="G525" i="1"/>
  <c r="G530" i="1" l="1"/>
  <c r="C21" i="12"/>
  <c r="G196" i="1"/>
  <c r="G202" i="1"/>
  <c r="B21" i="12" l="1"/>
  <c r="B20" i="12"/>
  <c r="B11" i="12"/>
  <c r="F530" i="1"/>
  <c r="G439" i="1" l="1"/>
  <c r="J467" i="1"/>
  <c r="F12" i="1"/>
  <c r="K202" i="1"/>
  <c r="K199" i="1"/>
  <c r="I202" i="1"/>
  <c r="I199" i="1"/>
  <c r="J206" i="1"/>
  <c r="J202" i="1"/>
  <c r="I201" i="1"/>
  <c r="H206" i="1"/>
  <c r="H203" i="1"/>
  <c r="H202" i="1"/>
  <c r="H197" i="1"/>
  <c r="F202" i="1"/>
  <c r="F201" i="1"/>
  <c r="F109" i="1"/>
  <c r="F9" i="1"/>
  <c r="F366" i="1"/>
  <c r="I357" i="1"/>
  <c r="F357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F31" i="13" s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40" i="1"/>
  <c r="H640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 s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F544" i="1" l="1"/>
  <c r="G33" i="13"/>
  <c r="J648" i="1"/>
  <c r="F139" i="1"/>
  <c r="I445" i="1"/>
  <c r="G641" i="1" s="1"/>
  <c r="J641" i="1" s="1"/>
  <c r="G433" i="1"/>
  <c r="A22" i="12"/>
  <c r="E90" i="2"/>
  <c r="L361" i="1"/>
  <c r="D50" i="2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D103" i="2" s="1"/>
  <c r="I168" i="1"/>
  <c r="H168" i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F192" i="1" s="1"/>
  <c r="G626" i="1" s="1"/>
  <c r="J626" i="1" s="1"/>
  <c r="J139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L544" i="1"/>
  <c r="H544" i="1"/>
  <c r="K550" i="1"/>
  <c r="F143" i="2"/>
  <c r="F144" i="2" s="1"/>
  <c r="K551" i="1" l="1"/>
  <c r="J647" i="1"/>
  <c r="C39" i="10"/>
  <c r="C36" i="10"/>
  <c r="C27" i="10"/>
  <c r="G634" i="1"/>
  <c r="J634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 l="1"/>
  <c r="D39" i="10" s="1"/>
  <c r="C28" i="10"/>
  <c r="G636" i="1"/>
  <c r="J636" i="1" s="1"/>
  <c r="H645" i="1"/>
  <c r="J645" i="1" s="1"/>
  <c r="D33" i="13"/>
  <c r="D36" i="13" s="1"/>
  <c r="G663" i="1"/>
  <c r="I659" i="1"/>
  <c r="I663" i="1" s="1"/>
  <c r="J625" i="1"/>
  <c r="H655" i="1"/>
  <c r="D38" i="10" l="1"/>
  <c r="D36" i="10"/>
  <c r="D40" i="10"/>
  <c r="D35" i="10"/>
  <c r="D37" i="10"/>
  <c r="D23" i="10"/>
  <c r="D24" i="10"/>
  <c r="D22" i="10"/>
  <c r="D25" i="10"/>
  <c r="C30" i="10"/>
  <c r="D17" i="10"/>
  <c r="D11" i="10"/>
  <c r="D15" i="10"/>
  <c r="D19" i="10"/>
  <c r="D16" i="10"/>
  <c r="D12" i="10"/>
  <c r="D21" i="10"/>
  <c r="D18" i="10"/>
  <c r="D20" i="10"/>
  <c r="D26" i="10"/>
  <c r="D13" i="10"/>
  <c r="D10" i="10"/>
  <c r="D27" i="10"/>
  <c r="I666" i="1"/>
  <c r="I671" i="1"/>
  <c r="C7" i="10" s="1"/>
  <c r="G671" i="1"/>
  <c r="G666" i="1"/>
  <c r="D41" i="10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<sst xmlns="http://schemas.openxmlformats.org/spreadsheetml/2006/main" count="3946" uniqueCount="913">
  <si>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</si>
  <si>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</si>
  <si>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</si>
  <si>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</si>
  <si>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</si>
  <si>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</si>
  <si>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</si>
  <si>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</si>
  <si>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</si>
  <si>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</si>
  <si>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</si>
  <si>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</si>
  <si>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</si>
  <si>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</si>
  <si>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</si>
  <si>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</si>
  <si>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</si>
  <si>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</si>
  <si>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</si>
  <si>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</si>
  <si>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</si>
  <si>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</si>
  <si>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</si>
  <si>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</si>
  <si>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</si>
  <si>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</si>
  <si>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</si>
  <si>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</si>
  <si>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</si>
  <si>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</si>
  <si>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</si>
  <si>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</si>
  <si>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</si>
  <si>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</si>
  <si>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</si>
  <si>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</si>
  <si>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</si>
  <si>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</si>
  <si>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</si>
  <si>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</si>
  <si>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</si>
  <si>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</si>
  <si>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</si>
  <si>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</si>
  <si>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</si>
  <si>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</si>
  <si>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</si>
  <si>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</si>
  <si>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</si>
  <si>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</si>
  <si>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</si>
  <si>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</si>
  <si>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</si>
  <si>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</si>
  <si>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</si>
  <si>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</si>
  <si>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</si>
  <si>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</si>
  <si>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</si>
  <si>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</si>
  <si>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</si>
  <si>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</si>
  <si>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</si>
  <si>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</si>
  <si>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</si>
  <si>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</si>
  <si>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</si>
  <si>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</si>
  <si>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</si>
  <si>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</si>
  <si>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</si>
  <si>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</si>
  <si>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</si>
  <si>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</si>
  <si>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</si>
  <si>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</si>
  <si>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</si>
  <si>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</si>
  <si>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</si>
  <si>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</si>
  <si>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</si>
  <si>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</si>
  <si>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</si>
  <si>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</si>
  <si>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</si>
  <si>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</si>
  <si>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</si>
  <si>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</si>
  <si>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</si>
  <si>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</si>
  <si>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</si>
  <si>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</si>
  <si>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</si>
  <si>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</si>
  <si>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</si>
  <si>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</si>
  <si>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</si>
  <si>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</si>
  <si>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</si>
  <si>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</si>
  <si>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</si>
  <si>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</si>
  <si>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</si>
  <si>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</si>
  <si>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</si>
  <si>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</si>
  <si>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</si>
  <si>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</si>
  <si>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</si>
  <si>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</si>
  <si>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</si>
  <si>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</si>
  <si>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</si>
  <si>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</si>
  <si>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</si>
  <si>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</si>
  <si>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</si>
  <si>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</si>
  <si>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</si>
  <si>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</si>
  <si>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</si>
  <si>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</si>
  <si>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</si>
  <si>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</si>
  <si>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</si>
  <si>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</si>
  <si>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</si>
  <si>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</si>
  <si>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</si>
  <si>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</si>
  <si>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</si>
  <si>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</si>
  <si>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</si>
  <si>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</si>
  <si>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</si>
  <si>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</si>
  <si>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</si>
  <si>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</si>
  <si>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</si>
  <si>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</si>
  <si>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</si>
  <si>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</si>
  <si>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</si>
  <si>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</si>
  <si>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</si>
  <si>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</si>
  <si>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</si>
  <si>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</si>
  <si>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</si>
  <si>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</si>
  <si>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</si>
  <si>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</si>
  <si>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</si>
  <si>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</si>
  <si>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</si>
  <si>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</si>
  <si>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</si>
  <si>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</si>
  <si>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</si>
  <si>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</si>
  <si>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</si>
  <si>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</si>
  <si>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</si>
  <si>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</si>
  <si>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</si>
  <si>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</si>
  <si>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</si>
  <si>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</si>
  <si>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</si>
  <si>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</si>
  <si>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</si>
  <si>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</si>
  <si>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</si>
  <si>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</si>
  <si>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</si>
  <si>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</si>
  <si>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</si>
  <si>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</si>
  <si>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</si>
  <si>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</si>
  <si>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</si>
  <si>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</si>
  <si>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</si>
  <si>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</si>
  <si>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</si>
  <si>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</si>
  <si>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</si>
  <si>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</si>
  <si>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</si>
  <si>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</si>
  <si>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</si>
  <si>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</si>
  <si>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</si>
  <si>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</si>
  <si>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</si>
  <si>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</si>
  <si>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</si>
  <si>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</si>
  <si>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</si>
  <si>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</si>
  <si>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</si>
  <si>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</si>
  <si>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</si>
  <si>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</si>
  <si>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</si>
  <si>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</si>
  <si>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</si>
  <si>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</si>
  <si>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</si>
  <si>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</si>
  <si>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</si>
  <si>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</si>
  <si>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</si>
  <si>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</si>
  <si>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</si>
  <si>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</si>
  <si>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</si>
  <si>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</si>
  <si>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</si>
  <si>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</si>
  <si>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</si>
  <si>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</si>
  <si>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</si>
  <si>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</si>
  <si>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</si>
  <si>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</si>
  <si>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</si>
  <si>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</si>
  <si>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</si>
  <si>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</si>
  <si>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</si>
  <si>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</si>
  <si>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</si>
  <si>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</si>
  <si>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</si>
  <si>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</si>
  <si>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</si>
  <si>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</si>
  <si>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</si>
  <si>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</si>
  <si>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</si>
  <si>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</si>
  <si>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</si>
  <si>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</si>
  <si>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</si>
  <si>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</si>
  <si>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</si>
  <si>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</si>
  <si>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</si>
  <si>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</si>
  <si>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</si>
  <si>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</si>
  <si>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</si>
  <si>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</si>
  <si>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</si>
  <si>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</si>
  <si>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</si>
  <si>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</si>
  <si>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</si>
  <si>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</si>
  <si>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</si>
  <si>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</si>
  <si>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</si>
  <si>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</si>
  <si>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</si>
  <si>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</si>
  <si>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</si>
  <si>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</si>
  <si>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</si>
  <si>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</si>
  <si>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</si>
  <si>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</si>
  <si>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</si>
  <si>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</si>
  <si>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</si>
  <si>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</si>
  <si>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</si>
  <si>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</si>
  <si>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</si>
  <si>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</si>
  <si>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</si>
  <si>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</si>
  <si>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</si>
  <si>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</si>
  <si>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</si>
  <si>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</si>
  <si>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</si>
  <si>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</si>
  <si>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</si>
  <si>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</si>
  <si>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</si>
  <si>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</si>
  <si>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</si>
  <si>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</si>
  <si>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</si>
  <si>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</si>
  <si>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</si>
  <si>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</si>
  <si>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</si>
  <si>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</si>
  <si>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</si>
  <si>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</si>
  <si>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</si>
  <si>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</si>
  <si>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</si>
  <si>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</si>
  <si>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</si>
  <si>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</si>
  <si>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</si>
  <si>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</si>
  <si>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</si>
  <si>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</si>
  <si>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</si>
  <si>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</si>
  <si>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</si>
  <si>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</si>
  <si>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</si>
  <si>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</si>
  <si>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</si>
  <si>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</si>
  <si>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</si>
  <si>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</si>
  <si>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</si>
  <si>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</si>
  <si>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</si>
  <si>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</si>
  <si>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</si>
  <si>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</si>
  <si>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</si>
  <si>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</si>
  <si>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</si>
  <si>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</si>
  <si>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</si>
  <si>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</si>
  <si>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</si>
  <si>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</si>
  <si>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</si>
  <si>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</si>
  <si>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</si>
  <si>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</si>
  <si>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</si>
  <si>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</si>
  <si>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</si>
  <si>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</si>
  <si>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</si>
  <si>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</si>
  <si>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</si>
  <si>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</si>
  <si>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</si>
  <si>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</si>
  <si>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</si>
  <si>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</si>
  <si>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</si>
  <si>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</si>
  <si>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</si>
  <si>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</si>
  <si>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</si>
  <si>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</si>
  <si>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</si>
  <si>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</si>
  <si>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</si>
  <si>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</si>
  <si>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</si>
  <si>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</si>
  <si>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</si>
  <si>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</si>
  <si>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</si>
  <si>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</si>
  <si>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</si>
  <si>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</si>
  <si>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</si>
  <si>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</si>
  <si>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</si>
  <si>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</si>
  <si>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</si>
  <si>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</si>
  <si>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</si>
  <si>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</si>
  <si>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</si>
  <si>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</si>
  <si>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</si>
  <si>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</si>
  <si>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</si>
  <si>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</si>
  <si>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</si>
  <si>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</si>
  <si>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</si>
  <si>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</si>
  <si>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</si>
  <si>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</si>
  <si>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</si>
  <si>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</si>
  <si>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</si>
  <si>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</si>
  <si>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</si>
  <si>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</si>
  <si>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</si>
  <si>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</si>
  <si>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</si>
  <si>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</si>
  <si>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</si>
  <si>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</si>
  <si>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</si>
  <si>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</si>
  <si>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</si>
  <si>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</si>
  <si>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</si>
  <si>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</si>
  <si>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</si>
  <si>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</si>
  <si>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</si>
  <si>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</si>
  <si>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</si>
  <si>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</si>
  <si>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</si>
  <si>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</si>
  <si>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</si>
  <si>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</si>
  <si>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</si>
  <si>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</si>
  <si>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</si>
  <si>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</si>
  <si>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</si>
  <si>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</si>
  <si>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</si>
  <si>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</si>
  <si>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</si>
  <si>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</si>
  <si>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</si>
  <si>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</si>
  <si>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</si>
  <si>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</si>
  <si>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</si>
  <si>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</si>
  <si>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</si>
  <si>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</si>
  <si>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</si>
  <si>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</si>
  <si>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</si>
  <si>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</si>
  <si>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</si>
  <si>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</si>
  <si>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</si>
  <si>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</si>
  <si>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</si>
  <si>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</si>
  <si>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</si>
  <si>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</si>
  <si>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</si>
  <si>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</si>
  <si>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</si>
  <si>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</si>
  <si>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</si>
  <si>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</si>
  <si>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</si>
  <si>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</si>
  <si>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</si>
  <si>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</si>
  <si>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</si>
  <si>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</si>
  <si>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</si>
  <si>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</si>
  <si>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</si>
  <si>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</si>
  <si>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</si>
  <si>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</si>
  <si>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</si>
  <si>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</si>
  <si>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</si>
  <si>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</si>
  <si>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</si>
  <si>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</si>
  <si>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</si>
  <si>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</si>
  <si>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</si>
  <si>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</si>
  <si>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</si>
  <si>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</si>
  <si>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</si>
  <si>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</si>
  <si>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</si>
  <si>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</si>
  <si>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</si>
  <si>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</si>
  <si>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</si>
  <si>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</si>
  <si>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</si>
  <si>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</si>
  <si>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</si>
  <si>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</si>
  <si>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</si>
  <si>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</si>
  <si>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</si>
  <si>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</si>
  <si>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</si>
  <si>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</si>
  <si>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</si>
  <si>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</si>
  <si>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</si>
  <si>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</si>
  <si>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</si>
  <si>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</si>
  <si>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</si>
  <si>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</si>
  <si>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</si>
  <si>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</si>
  <si>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</si>
  <si>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</si>
  <si>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</si>
  <si>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</si>
  <si>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</si>
  <si>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</si>
  <si>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</si>
  <si>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</si>
  <si>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</si>
  <si>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</si>
  <si>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</si>
  <si>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</si>
  <si>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</si>
  <si>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</si>
  <si>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</si>
  <si>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</si>
  <si>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</si>
  <si>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</si>
  <si>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</si>
  <si>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</si>
  <si>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</si>
  <si>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</si>
  <si>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</si>
  <si>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</si>
  <si>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</si>
  <si>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</si>
  <si>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</si>
  <si>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</si>
  <si>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</si>
  <si>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</si>
  <si>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</si>
  <si>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</si>
  <si>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</si>
  <si>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</si>
  <si>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</si>
  <si>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</si>
  <si>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</si>
  <si>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</si>
  <si>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</si>
  <si>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</si>
  <si>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</si>
  <si>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</si>
  <si>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</si>
  <si>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</si>
  <si>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</si>
  <si>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</si>
  <si>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</si>
  <si>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</si>
  <si>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</si>
  <si>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</si>
  <si>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</si>
  <si>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</si>
  <si>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</si>
  <si>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</si>
  <si>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</si>
  <si>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</si>
  <si>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</si>
  <si>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</si>
  <si>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</si>
  <si>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</si>
  <si>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</si>
  <si>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</si>
  <si>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</si>
  <si>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</si>
  <si>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</si>
  <si>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</si>
  <si>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</si>
  <si>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</si>
  <si>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</si>
  <si>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</si>
  <si>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</si>
  <si>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</si>
  <si>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</si>
  <si>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</si>
  <si>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</si>
  <si>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</si>
  <si>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</si>
  <si>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</si>
  <si>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</si>
  <si>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</si>
  <si>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</si>
  <si>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</si>
  <si>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</si>
  <si>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</si>
  <si>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</si>
  <si>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</si>
  <si>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</si>
  <si>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</si>
  <si>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</si>
  <si>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</si>
  <si>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</si>
  <si>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</si>
  <si>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</si>
  <si>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</si>
  <si>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</si>
  <si>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</si>
  <si>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</si>
  <si>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</si>
  <si>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</si>
  <si>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</si>
  <si>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</si>
  <si>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</si>
  <si>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</si>
  <si>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</si>
  <si>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</si>
  <si>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</si>
  <si>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</si>
  <si>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</si>
  <si>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</si>
  <si>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</si>
  <si>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</si>
  <si>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</si>
  <si>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</si>
  <si>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</si>
  <si>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</si>
  <si>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</si>
  <si>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</si>
  <si>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</si>
  <si>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</si>
  <si>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</si>
  <si>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</si>
  <si>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</si>
  <si>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</si>
  <si>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</si>
  <si>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</si>
  <si>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</si>
  <si>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</si>
  <si>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</si>
  <si>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</si>
  <si>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</si>
  <si>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</si>
  <si>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</si>
  <si>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</si>
  <si>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</si>
  <si>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</si>
  <si>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</si>
  <si>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</si>
  <si>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</si>
  <si>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</si>
  <si>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</si>
  <si>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</si>
  <si>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</si>
  <si>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</si>
  <si>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</si>
  <si>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</si>
  <si>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</si>
  <si>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</si>
  <si>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</si>
  <si>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</si>
  <si>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</si>
  <si>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</si>
  <si>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</si>
  <si>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</si>
  <si>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</si>
  <si>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</si>
  <si>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</si>
  <si>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</si>
  <si>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</si>
  <si>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</si>
  <si>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</si>
  <si>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</si>
  <si>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</si>
  <si>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</si>
  <si>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</si>
  <si>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</si>
  <si>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</si>
  <si>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</si>
  <si>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</si>
  <si>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</si>
  <si>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</si>
  <si>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</si>
  <si>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</si>
  <si>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</si>
  <si>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</si>
  <si>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</si>
  <si>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</si>
  <si>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</si>
  <si>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</si>
  <si>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</si>
  <si>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</si>
  <si>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</si>
  <si>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</si>
  <si>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</si>
  <si>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</si>
  <si>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</si>
  <si>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</si>
  <si>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</si>
  <si>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</si>
  <si>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</si>
  <si>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</si>
  <si>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</si>
  <si>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</si>
  <si>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</si>
  <si>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</si>
  <si>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</si>
  <si>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</si>
  <si>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</si>
  <si>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</si>
  <si>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</si>
  <si>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</si>
  <si>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</si>
  <si>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</si>
  <si>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</si>
  <si>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</si>
  <si>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</si>
  <si>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</si>
  <si>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</si>
  <si>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</si>
  <si>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</si>
  <si>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</si>
  <si>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</si>
  <si>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</si>
  <si>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</si>
  <si>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</si>
  <si>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</si>
  <si>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</si>
  <si>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</si>
  <si>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</si>
  <si>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</si>
  <si>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</si>
  <si>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</si>
  <si>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</si>
  <si>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</si>
  <si>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</si>
  <si>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</si>
  <si>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</si>
  <si>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</si>
  <si>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</si>
  <si>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</si>
  <si>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</si>
  <si>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</si>
  <si>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</si>
  <si>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</si>
  <si>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</si>
  <si>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</si>
  <si>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</si>
  <si>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</si>
  <si>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</si>
  <si>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</si>
  <si>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</si>
  <si>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</si>
  <si>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</si>
  <si>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</si>
  <si>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</si>
  <si>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</si>
  <si>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</si>
  <si>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</si>
  <si>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</si>
  <si>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</si>
  <si>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</si>
  <si>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</si>
  <si>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</si>
  <si>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</si>
  <si>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</si>
  <si>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</si>
  <si>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</si>
  <si>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</si>
  <si>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</si>
  <si>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</si>
  <si>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</si>
  <si>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</si>
  <si>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</si>
  <si>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</si>
  <si>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</si>
  <si>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</si>
  <si>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</si>
  <si>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</si>
  <si>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</si>
  <si>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</si>
  <si>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</si>
  <si>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</si>
  <si>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</si>
  <si>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</si>
  <si>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</si>
  <si>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</si>
  <si>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</si>
  <si>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</si>
  <si>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</si>
  <si>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</si>
  <si>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</si>
  <si>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</si>
  <si>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</si>
  <si>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</si>
  <si>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</si>
  <si>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</si>
  <si>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</si>
  <si>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</si>
  <si>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</si>
  <si>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</si>
  <si>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</si>
  <si>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</si>
  <si>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</si>
  <si>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</si>
  <si>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</si>
  <si>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</si>
  <si>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</si>
  <si>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</si>
  <si>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</si>
  <si>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</si>
  <si>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</si>
  <si>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</si>
  <si>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</si>
  <si>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</si>
  <si>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</si>
  <si>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</si>
  <si>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</si>
  <si>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</si>
  <si>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</si>
  <si>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</si>
  <si>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</si>
  <si>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</si>
  <si>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</si>
  <si>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</si>
  <si>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</si>
  <si>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</si>
  <si>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</si>
  <si>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</si>
  <si>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</si>
  <si>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</si>
  <si>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</si>
  <si>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</si>
  <si>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</si>
  <si>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</si>
  <si>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</si>
  <si>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</si>
  <si>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</si>
  <si>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</si>
  <si>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</si>
  <si>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</si>
  <si>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</si>
  <si>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</si>
  <si>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</si>
  <si>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</si>
  <si>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</si>
  <si>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</si>
  <si>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</si>
  <si>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</si>
  <si>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</si>
  <si>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</si>
  <si>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</si>
  <si>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</si>
  <si>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</si>
  <si>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</si>
  <si>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</si>
  <si>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</si>
  <si>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</si>
  <si>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</si>
  <si>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</si>
  <si>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</si>
  <si>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</si>
  <si>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</si>
  <si>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</si>
  <si>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</si>
  <si>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</si>
  <si>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</si>
  <si>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</si>
  <si>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</si>
  <si>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</si>
  <si>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</si>
  <si>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</si>
  <si>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</si>
  <si>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</si>
  <si>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</si>
  <si>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</si>
  <si>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</si>
  <si>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</si>
  <si>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</si>
  <si>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</si>
  <si>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</si>
  <si>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</si>
  <si>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</si>
  <si>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</si>
  <si>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</si>
  <si>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</si>
  <si>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</si>
  <si>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</si>
  <si>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</si>
  <si>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</si>
  <si>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</si>
  <si>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</si>
  <si>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</si>
  <si>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</si>
  <si>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</si>
  <si>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</si>
  <si>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</si>
  <si>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</si>
  <si>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</si>
  <si>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</si>
  <si>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</si>
  <si>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</si>
  <si>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</si>
  <si>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</si>
  <si>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</si>
  <si>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</si>
  <si>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</si>
  <si>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</si>
  <si>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</si>
  <si>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</si>
  <si>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</si>
  <si>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</si>
  <si>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</si>
  <si>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</si>
  <si>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</si>
  <si>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NORTH HAMPTON</t>
  </si>
  <si>
    <t>July 1996</t>
  </si>
  <si>
    <t>August 2011</t>
  </si>
  <si>
    <t>EDJOBS REVENUE &amp; EXPENDITURES $35,674.81 RECORDED UNDER SPECIAL REVENUE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</si>
</sst>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405</v>
      </c>
      <c r="C2" s="21">
        <v>405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188066.28+133.61</f>
        <v>188199.88999999998</v>
      </c>
      <c r="G9" s="18">
        <v>361.6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166836.28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25949.01-1136.95</f>
        <v>24812.059999999998</v>
      </c>
      <c r="G12" s="18">
        <v>1136.95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3010.11</v>
      </c>
      <c r="G13" s="18">
        <v>1157.8399999999999</v>
      </c>
      <c r="H13" s="18">
        <v>25949.01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5821.85</v>
      </c>
      <c r="G14" s="18">
        <v>110.52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221843.90999999997</v>
      </c>
      <c r="G19" s="41">
        <f>SUM(G9:G18)</f>
        <v>2766.9100000000003</v>
      </c>
      <c r="H19" s="41">
        <f>SUM(H9:H18)</f>
        <v>25949.01</v>
      </c>
      <c r="I19" s="41">
        <f>SUM(I9:I18)</f>
        <v>0</v>
      </c>
      <c r="J19" s="41">
        <f>SUM(J9:J18)</f>
        <v>166836.28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25949.01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11300.79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2066.25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23793.919999999998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2739.3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37160.959999999999</v>
      </c>
      <c r="G32" s="41">
        <f>SUM(G22:G31)</f>
        <v>2739.3</v>
      </c>
      <c r="H32" s="41">
        <f>SUM(H22:H31)</f>
        <v>25949.01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27.61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6797.12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27668.080000000002</v>
      </c>
      <c r="G47" s="18"/>
      <c r="H47" s="18"/>
      <c r="I47" s="18"/>
      <c r="J47" s="13">
        <f>SUM(I458)</f>
        <v>166836.28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10217.75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184682.95</v>
      </c>
      <c r="G50" s="41">
        <f>SUM(G35:G49)</f>
        <v>27.61</v>
      </c>
      <c r="H50" s="41">
        <f>SUM(H35:H49)</f>
        <v>0</v>
      </c>
      <c r="I50" s="41">
        <f>SUM(I35:I49)</f>
        <v>0</v>
      </c>
      <c r="J50" s="41">
        <f>SUM(J35:J49)</f>
        <v>166836.28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221843.91</v>
      </c>
      <c r="G51" s="41">
        <f>G50+G32</f>
        <v>2766.9100000000003</v>
      </c>
      <c r="H51" s="41">
        <f>H50+H32</f>
        <v>25949.01</v>
      </c>
      <c r="I51" s="41">
        <f>I50+I32</f>
        <v>0</v>
      </c>
      <c r="J51" s="41">
        <f>J50+J32</f>
        <v>166836.28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5976434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5976434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13499.5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13499.5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1027.75</v>
      </c>
      <c r="G95" s="18"/>
      <c r="H95" s="18"/>
      <c r="I95" s="18"/>
      <c r="J95" s="18">
        <v>439.61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106432.27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21752.12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11207.9-280.25</f>
        <v>10927.65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33707.519999999997</v>
      </c>
      <c r="G110" s="41">
        <f>SUM(G95:G109)</f>
        <v>106432.27</v>
      </c>
      <c r="H110" s="41">
        <f>SUM(H95:H109)</f>
        <v>0</v>
      </c>
      <c r="I110" s="41">
        <f>SUM(I95:I109)</f>
        <v>0</v>
      </c>
      <c r="J110" s="41">
        <f>SUM(J95:J109)</f>
        <v>439.61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6023641.0199999996</v>
      </c>
      <c r="G111" s="41">
        <f>G59+G110</f>
        <v>106432.27</v>
      </c>
      <c r="H111" s="41">
        <f>H59+H78+H93+H110</f>
        <v>0</v>
      </c>
      <c r="I111" s="41">
        <f>I59+I110</f>
        <v>0</v>
      </c>
      <c r="J111" s="41">
        <f>J59+J110</f>
        <v>439.61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166344.87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1656036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144.13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1822525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140398.45000000001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1786.72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140398.45000000001</v>
      </c>
      <c r="G135" s="41">
        <f>SUM(G122:G134)</f>
        <v>1786.72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1962923.45</v>
      </c>
      <c r="G139" s="41">
        <f>G120+SUM(G135:G136)</f>
        <v>1786.72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35674.81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35674.81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26599.32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38265.33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27333.18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109366.02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42655.32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8198.7800000000007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42655.32</v>
      </c>
      <c r="G161" s="41">
        <f>SUM(G149:G160)</f>
        <v>35531.96</v>
      </c>
      <c r="H161" s="41">
        <f>SUM(H149:H160)</f>
        <v>174230.67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42655.32</v>
      </c>
      <c r="G168" s="41">
        <f>G146+G161+SUM(G162:G167)</f>
        <v>35531.96</v>
      </c>
      <c r="H168" s="41">
        <f>H146+H161+SUM(H162:H167)</f>
        <v>209905.48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25950</v>
      </c>
      <c r="H178" s="18"/>
      <c r="I178" s="18"/>
      <c r="J178" s="18">
        <v>56925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25950</v>
      </c>
      <c r="H182" s="41">
        <f>SUM(H178:H181)</f>
        <v>0</v>
      </c>
      <c r="I182" s="41">
        <f>SUM(I178:I181)</f>
        <v>0</v>
      </c>
      <c r="J182" s="41">
        <f>SUM(J178:J181)</f>
        <v>56925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25950</v>
      </c>
      <c r="H191" s="41">
        <f>+H182+SUM(H187:H190)</f>
        <v>0</v>
      </c>
      <c r="I191" s="41">
        <f>I176+I182+SUM(I187:I190)</f>
        <v>0</v>
      </c>
      <c r="J191" s="41">
        <f>J182</f>
        <v>56925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8029219.79</v>
      </c>
      <c r="G192" s="47">
        <f>G111+G139+G168+G191</f>
        <v>169700.95</v>
      </c>
      <c r="H192" s="47">
        <f>H111+H139+H168+H191</f>
        <v>209905.48</v>
      </c>
      <c r="I192" s="47">
        <f>I111+I139+I168+I191</f>
        <v>0</v>
      </c>
      <c r="J192" s="47">
        <f>J111+J139+J191</f>
        <v>57364.61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2228984.92</v>
      </c>
      <c r="G196" s="18">
        <f>953392.09-0.01</f>
        <v>953392.08</v>
      </c>
      <c r="H196" s="18">
        <v>16537.990000000002</v>
      </c>
      <c r="I196" s="18">
        <v>75174.11</v>
      </c>
      <c r="J196" s="18">
        <v>4966.8900000000003</v>
      </c>
      <c r="K196" s="18"/>
      <c r="L196" s="19">
        <f>SUM(F196:K196)</f>
        <v>3279055.99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976803.3</v>
      </c>
      <c r="G197" s="18">
        <v>313825.40999999997</v>
      </c>
      <c r="H197" s="18">
        <f>109475.51+2713.94</f>
        <v>112189.45</v>
      </c>
      <c r="I197" s="18">
        <v>4788.01</v>
      </c>
      <c r="J197" s="18">
        <v>3169.14</v>
      </c>
      <c r="K197" s="18">
        <v>855</v>
      </c>
      <c r="L197" s="19">
        <f>SUM(F197:K197)</f>
        <v>1411630.3099999998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32329.62</v>
      </c>
      <c r="G199" s="18">
        <v>2473.2199999999998</v>
      </c>
      <c r="H199" s="18">
        <v>995</v>
      </c>
      <c r="I199" s="18">
        <f>12056.71+362.48</f>
        <v>12419.189999999999</v>
      </c>
      <c r="J199" s="18">
        <v>591.20000000000005</v>
      </c>
      <c r="K199" s="18">
        <f>57638.8+100</f>
        <v>57738.8</v>
      </c>
      <c r="L199" s="19">
        <f>SUM(F199:K199)</f>
        <v>106547.03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72215+51175.8+241857.37</f>
        <v>365248.17</v>
      </c>
      <c r="G201" s="18">
        <v>166970.19</v>
      </c>
      <c r="H201" s="18">
        <v>500</v>
      </c>
      <c r="I201" s="18">
        <f>237.39+1503.16+952.39</f>
        <v>2692.94</v>
      </c>
      <c r="J201" s="18">
        <v>286.95</v>
      </c>
      <c r="K201" s="18"/>
      <c r="L201" s="19">
        <f t="shared" ref="L201:L207" si="0">SUM(F201:K201)</f>
        <v>535698.24999999988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91428.74+185030.83</f>
        <v>276459.57</v>
      </c>
      <c r="G202" s="18">
        <f>5698+101268.06</f>
        <v>106966.06</v>
      </c>
      <c r="H202" s="18">
        <f>14093.01+11484.39</f>
        <v>25577.4</v>
      </c>
      <c r="I202" s="18">
        <f>3699.24+26441.09+37246.26+957.47</f>
        <v>68344.06</v>
      </c>
      <c r="J202" s="18">
        <f>498+60156.27</f>
        <v>60654.27</v>
      </c>
      <c r="K202" s="18">
        <f>1092.89+292.09</f>
        <v>1384.98</v>
      </c>
      <c r="L202" s="19">
        <f t="shared" si="0"/>
        <v>539386.34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12890</v>
      </c>
      <c r="G203" s="18">
        <v>986.09</v>
      </c>
      <c r="H203" s="18">
        <f>22986.72+191508</f>
        <v>214494.72</v>
      </c>
      <c r="I203" s="18"/>
      <c r="J203" s="18"/>
      <c r="K203" s="18">
        <v>14341.07</v>
      </c>
      <c r="L203" s="19">
        <f t="shared" si="0"/>
        <v>242711.88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279345.2</v>
      </c>
      <c r="G204" s="18">
        <v>87570.16</v>
      </c>
      <c r="H204" s="18">
        <v>10160.629999999999</v>
      </c>
      <c r="I204" s="18">
        <v>2561.8000000000002</v>
      </c>
      <c r="J204" s="18"/>
      <c r="K204" s="18">
        <v>1753</v>
      </c>
      <c r="L204" s="19">
        <f t="shared" si="0"/>
        <v>381390.79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176112.46</v>
      </c>
      <c r="G206" s="18">
        <v>117873.58</v>
      </c>
      <c r="H206" s="18">
        <f>90996.3+25986.64+746.92</f>
        <v>117729.86</v>
      </c>
      <c r="I206" s="18">
        <v>148152.79999999999</v>
      </c>
      <c r="J206" s="18">
        <f>2261.97+9766.7</f>
        <v>12028.67</v>
      </c>
      <c r="K206" s="18"/>
      <c r="L206" s="19">
        <f t="shared" si="0"/>
        <v>571897.37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313833.34000000003</v>
      </c>
      <c r="I207" s="18"/>
      <c r="J207" s="18"/>
      <c r="K207" s="18"/>
      <c r="L207" s="19">
        <f t="shared" si="0"/>
        <v>313833.34000000003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>
        <v>200</v>
      </c>
      <c r="L208" s="19">
        <f>SUM(F208:K208)</f>
        <v>200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4348173.24</v>
      </c>
      <c r="G210" s="41">
        <f t="shared" si="1"/>
        <v>1750056.79</v>
      </c>
      <c r="H210" s="41">
        <f t="shared" si="1"/>
        <v>812018.39</v>
      </c>
      <c r="I210" s="41">
        <f t="shared" si="1"/>
        <v>314132.90999999997</v>
      </c>
      <c r="J210" s="41">
        <f t="shared" si="1"/>
        <v>81697.119999999995</v>
      </c>
      <c r="K210" s="41">
        <f t="shared" si="1"/>
        <v>76272.850000000006</v>
      </c>
      <c r="L210" s="41">
        <f t="shared" si="1"/>
        <v>7382351.2999999998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4348173.24</v>
      </c>
      <c r="G256" s="41">
        <f t="shared" si="8"/>
        <v>1750056.79</v>
      </c>
      <c r="H256" s="41">
        <f t="shared" si="8"/>
        <v>812018.39</v>
      </c>
      <c r="I256" s="41">
        <f t="shared" si="8"/>
        <v>314132.90999999997</v>
      </c>
      <c r="J256" s="41">
        <f t="shared" si="8"/>
        <v>81697.119999999995</v>
      </c>
      <c r="K256" s="41">
        <f t="shared" si="8"/>
        <v>76272.850000000006</v>
      </c>
      <c r="L256" s="41">
        <f t="shared" si="8"/>
        <v>7382351.2999999998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460000</v>
      </c>
      <c r="L259" s="19">
        <f>SUM(F259:K259)</f>
        <v>460000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13225</v>
      </c>
      <c r="L260" s="19">
        <f>SUM(F260:K260)</f>
        <v>13225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25950</v>
      </c>
      <c r="L262" s="19">
        <f>SUM(F262:K262)</f>
        <v>25950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56925</v>
      </c>
      <c r="L265" s="19">
        <f t="shared" si="9"/>
        <v>56925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556100</v>
      </c>
      <c r="L269" s="41">
        <f t="shared" si="9"/>
        <v>556100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4348173.24</v>
      </c>
      <c r="G270" s="42">
        <f t="shared" si="11"/>
        <v>1750056.79</v>
      </c>
      <c r="H270" s="42">
        <f t="shared" si="11"/>
        <v>812018.39</v>
      </c>
      <c r="I270" s="42">
        <f t="shared" si="11"/>
        <v>314132.90999999997</v>
      </c>
      <c r="J270" s="42">
        <f t="shared" si="11"/>
        <v>81697.119999999995</v>
      </c>
      <c r="K270" s="42">
        <f t="shared" si="11"/>
        <v>632372.85</v>
      </c>
      <c r="L270" s="42">
        <f t="shared" si="11"/>
        <v>7938451.2999999998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27727.5</v>
      </c>
      <c r="G275" s="18">
        <v>2210.9899999999998</v>
      </c>
      <c r="H275" s="18">
        <v>29110.5</v>
      </c>
      <c r="I275" s="18">
        <v>771.27</v>
      </c>
      <c r="J275" s="18"/>
      <c r="K275" s="18"/>
      <c r="L275" s="19">
        <f>SUM(F275:K275)</f>
        <v>59820.259999999995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35674.81+44083.9</f>
        <v>79758.709999999992</v>
      </c>
      <c r="G276" s="18">
        <v>10547.36</v>
      </c>
      <c r="H276" s="18">
        <v>48659.199999999997</v>
      </c>
      <c r="I276" s="18">
        <v>550.91</v>
      </c>
      <c r="J276" s="18"/>
      <c r="K276" s="18"/>
      <c r="L276" s="19">
        <f>SUM(F276:K276)</f>
        <v>139516.18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2677.5</v>
      </c>
      <c r="G278" s="18">
        <v>204.85</v>
      </c>
      <c r="H278" s="18"/>
      <c r="I278" s="18"/>
      <c r="J278" s="18"/>
      <c r="K278" s="18"/>
      <c r="L278" s="19">
        <f>SUM(F278:K278)</f>
        <v>2882.35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7686.69</v>
      </c>
      <c r="L282" s="19">
        <f t="shared" si="12"/>
        <v>7686.69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110163.70999999999</v>
      </c>
      <c r="G289" s="42">
        <f t="shared" si="13"/>
        <v>12963.2</v>
      </c>
      <c r="H289" s="42">
        <f t="shared" si="13"/>
        <v>77769.7</v>
      </c>
      <c r="I289" s="42">
        <f t="shared" si="13"/>
        <v>1322.1799999999998</v>
      </c>
      <c r="J289" s="42">
        <f t="shared" si="13"/>
        <v>0</v>
      </c>
      <c r="K289" s="42">
        <f t="shared" si="13"/>
        <v>7686.69</v>
      </c>
      <c r="L289" s="41">
        <f t="shared" si="13"/>
        <v>209905.48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110163.70999999999</v>
      </c>
      <c r="G337" s="41">
        <f t="shared" si="20"/>
        <v>12963.2</v>
      </c>
      <c r="H337" s="41">
        <f t="shared" si="20"/>
        <v>77769.7</v>
      </c>
      <c r="I337" s="41">
        <f t="shared" si="20"/>
        <v>1322.1799999999998</v>
      </c>
      <c r="J337" s="41">
        <f t="shared" si="20"/>
        <v>0</v>
      </c>
      <c r="K337" s="41">
        <f t="shared" si="20"/>
        <v>7686.69</v>
      </c>
      <c r="L337" s="41">
        <f t="shared" si="20"/>
        <v>209905.48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110163.70999999999</v>
      </c>
      <c r="G351" s="41">
        <f>G337</f>
        <v>12963.2</v>
      </c>
      <c r="H351" s="41">
        <f>H337</f>
        <v>77769.7</v>
      </c>
      <c r="I351" s="41">
        <f>I337</f>
        <v>1322.1799999999998</v>
      </c>
      <c r="J351" s="41">
        <f>J337</f>
        <v>0</v>
      </c>
      <c r="K351" s="47">
        <f>K337+K350</f>
        <v>7686.69</v>
      </c>
      <c r="L351" s="41">
        <f>L337+L350</f>
        <v>209905.48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39512.99+47440.13</f>
        <v>86953.12</v>
      </c>
      <c r="G357" s="18"/>
      <c r="H357" s="18">
        <v>2622.6</v>
      </c>
      <c r="I357" s="18">
        <f>3704.18+67244.01+8198.78</f>
        <v>79146.969999999987</v>
      </c>
      <c r="J357" s="18">
        <v>394.25</v>
      </c>
      <c r="K357" s="18">
        <v>599</v>
      </c>
      <c r="L357" s="13">
        <f>SUM(F357:K357)</f>
        <v>169715.94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86953.12</v>
      </c>
      <c r="G361" s="47">
        <f t="shared" si="22"/>
        <v>0</v>
      </c>
      <c r="H361" s="47">
        <f t="shared" si="22"/>
        <v>2622.6</v>
      </c>
      <c r="I361" s="47">
        <f t="shared" si="22"/>
        <v>79146.969999999987</v>
      </c>
      <c r="J361" s="47">
        <f t="shared" si="22"/>
        <v>394.25</v>
      </c>
      <c r="K361" s="47">
        <f t="shared" si="22"/>
        <v>599</v>
      </c>
      <c r="L361" s="47">
        <f t="shared" si="22"/>
        <v>169715.94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67244.01+8198.78</f>
        <v>75442.789999999994</v>
      </c>
      <c r="G366" s="18"/>
      <c r="H366" s="18"/>
      <c r="I366" s="56">
        <f>SUM(F366:H366)</f>
        <v>75442.789999999994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3704.18</v>
      </c>
      <c r="G367" s="63"/>
      <c r="H367" s="63"/>
      <c r="I367" s="56">
        <f>SUM(F367:H367)</f>
        <v>3704.18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79146.969999999987</v>
      </c>
      <c r="G368" s="47">
        <f>SUM(G366:G367)</f>
        <v>0</v>
      </c>
      <c r="H368" s="47">
        <f>SUM(H366:H367)</f>
        <v>0</v>
      </c>
      <c r="I368" s="47">
        <f>SUM(I366:I367)</f>
        <v>79146.969999999987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46.42</v>
      </c>
      <c r="I388" s="18"/>
      <c r="J388" s="24" t="s">
        <v>289</v>
      </c>
      <c r="K388" s="24" t="s">
        <v>289</v>
      </c>
      <c r="L388" s="56">
        <f t="shared" si="25"/>
        <v>46.42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46.42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46.42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>
        <v>30000</v>
      </c>
      <c r="H394" s="18">
        <v>74.77</v>
      </c>
      <c r="I394" s="18"/>
      <c r="J394" s="24" t="s">
        <v>289</v>
      </c>
      <c r="K394" s="24" t="s">
        <v>289</v>
      </c>
      <c r="L394" s="56">
        <f t="shared" ref="L394:L399" si="26">SUM(F394:K394)</f>
        <v>30074.77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277.08</v>
      </c>
      <c r="I395" s="18"/>
      <c r="J395" s="24" t="s">
        <v>289</v>
      </c>
      <c r="K395" s="24" t="s">
        <v>289</v>
      </c>
      <c r="L395" s="56">
        <f t="shared" si="26"/>
        <v>277.08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26925</v>
      </c>
      <c r="H396" s="18">
        <v>41.34</v>
      </c>
      <c r="I396" s="18"/>
      <c r="J396" s="24" t="s">
        <v>289</v>
      </c>
      <c r="K396" s="24" t="s">
        <v>289</v>
      </c>
      <c r="L396" s="56">
        <f t="shared" si="26"/>
        <v>26966.34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56925</v>
      </c>
      <c r="H400" s="47">
        <f>SUM(H394:H399)</f>
        <v>393.18999999999994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57318.19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56925</v>
      </c>
      <c r="H407" s="47">
        <f>H392+H400+H406</f>
        <v>439.60999999999996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57364.61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2135</v>
      </c>
      <c r="I414" s="18"/>
      <c r="J414" s="18"/>
      <c r="K414" s="18"/>
      <c r="L414" s="56">
        <f t="shared" si="27"/>
        <v>2135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2135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2135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>
        <v>30000</v>
      </c>
      <c r="H420" s="18"/>
      <c r="I420" s="18"/>
      <c r="J420" s="18"/>
      <c r="K420" s="18"/>
      <c r="L420" s="56">
        <f t="shared" ref="L420:L425" si="29">SUM(F420:K420)</f>
        <v>30000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62404</v>
      </c>
      <c r="I421" s="18"/>
      <c r="J421" s="18"/>
      <c r="K421" s="18"/>
      <c r="L421" s="56">
        <f t="shared" si="29"/>
        <v>62404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30000</v>
      </c>
      <c r="H426" s="47">
        <f t="shared" si="30"/>
        <v>62404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92404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30000</v>
      </c>
      <c r="H433" s="47">
        <f t="shared" si="32"/>
        <v>64539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94539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87480.42+22256.34+30133.18+26966.22+0.12</f>
        <v>166836.28</v>
      </c>
      <c r="H439" s="18"/>
      <c r="I439" s="56">
        <f t="shared" si="33"/>
        <v>166836.28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166836.28</v>
      </c>
      <c r="H445" s="13">
        <f>SUM(H438:H444)</f>
        <v>0</v>
      </c>
      <c r="I445" s="13">
        <f>SUM(I438:I444)</f>
        <v>166836.28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166836.28</v>
      </c>
      <c r="H458" s="18"/>
      <c r="I458" s="56">
        <f t="shared" si="34"/>
        <v>166836.28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166836.28</v>
      </c>
      <c r="H459" s="83">
        <f>SUM(H453:H458)</f>
        <v>0</v>
      </c>
      <c r="I459" s="83">
        <f>SUM(I453:I458)</f>
        <v>166836.28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166836.28</v>
      </c>
      <c r="H460" s="42">
        <f>H451+H459</f>
        <v>0</v>
      </c>
      <c r="I460" s="42">
        <f>I451+I459</f>
        <v>166836.28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93914.46</v>
      </c>
      <c r="G464" s="18">
        <v>42.6</v>
      </c>
      <c r="H464" s="18">
        <v>0</v>
      </c>
      <c r="I464" s="18">
        <v>0</v>
      </c>
      <c r="J464" s="18">
        <v>204010.67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8029219.79</v>
      </c>
      <c r="G467" s="18">
        <v>169700.95</v>
      </c>
      <c r="H467" s="18">
        <f>35674.81+174230.67</f>
        <v>209905.48</v>
      </c>
      <c r="I467" s="18"/>
      <c r="J467" s="18">
        <f>56925+439.61</f>
        <v>57364.61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8029219.79</v>
      </c>
      <c r="G469" s="53">
        <f>SUM(G467:G468)</f>
        <v>169700.95</v>
      </c>
      <c r="H469" s="53">
        <f>SUM(H467:H468)</f>
        <v>209905.48</v>
      </c>
      <c r="I469" s="53">
        <f>SUM(I467:I468)</f>
        <v>0</v>
      </c>
      <c r="J469" s="53">
        <f>SUM(J467:J468)</f>
        <v>57364.61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7938451.2999999998</v>
      </c>
      <c r="G471" s="18">
        <v>169715.94</v>
      </c>
      <c r="H471" s="18">
        <f>35674.81+174230.67</f>
        <v>209905.48</v>
      </c>
      <c r="I471" s="18"/>
      <c r="J471" s="18">
        <v>94539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7938451.2999999998</v>
      </c>
      <c r="G473" s="53">
        <f>SUM(G471:G472)</f>
        <v>169715.94</v>
      </c>
      <c r="H473" s="53">
        <f>SUM(H471:H472)</f>
        <v>209905.48</v>
      </c>
      <c r="I473" s="53">
        <f>SUM(I471:I472)</f>
        <v>0</v>
      </c>
      <c r="J473" s="53">
        <f>SUM(J471:J472)</f>
        <v>94539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184682.95000000019</v>
      </c>
      <c r="G475" s="53">
        <f>(G464+G469)- G473</f>
        <v>27.610000000015134</v>
      </c>
      <c r="H475" s="53">
        <f>(H464+H469)- H473</f>
        <v>0</v>
      </c>
      <c r="I475" s="53">
        <f>(I464+I469)- I473</f>
        <v>0</v>
      </c>
      <c r="J475" s="53">
        <f>(J464+J469)- J473</f>
        <v>166836.28000000003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4780000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5.67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460000</v>
      </c>
      <c r="G494" s="18"/>
      <c r="H494" s="18"/>
      <c r="I494" s="18"/>
      <c r="J494" s="18"/>
      <c r="K494" s="53">
        <f>SUM(F494:J494)</f>
        <v>460000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460000</v>
      </c>
      <c r="G496" s="18"/>
      <c r="H496" s="18"/>
      <c r="I496" s="18"/>
      <c r="J496" s="18"/>
      <c r="K496" s="53">
        <f t="shared" si="35"/>
        <v>460000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0</v>
      </c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0</v>
      </c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341043.65+407224.66+35+44083.9</f>
        <v>792387.21000000008</v>
      </c>
      <c r="G520" s="18">
        <f>112805.09+113002.11+10547.36</f>
        <v>236354.56</v>
      </c>
      <c r="H520" s="18">
        <f>440+46710.65+2713.94+48659.2</f>
        <v>98523.790000000008</v>
      </c>
      <c r="I520" s="18">
        <f>4788.01+952.39+550.91</f>
        <v>6291.31</v>
      </c>
      <c r="J520" s="18">
        <v>3169.14</v>
      </c>
      <c r="K520" s="18"/>
      <c r="L520" s="88">
        <f>SUM(F520:K520)</f>
        <v>1136726.01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792387.21000000008</v>
      </c>
      <c r="G523" s="108">
        <f t="shared" ref="G523:L523" si="36">SUM(G520:G522)</f>
        <v>236354.56</v>
      </c>
      <c r="H523" s="108">
        <f t="shared" si="36"/>
        <v>98523.790000000008</v>
      </c>
      <c r="I523" s="108">
        <f t="shared" si="36"/>
        <v>6291.31</v>
      </c>
      <c r="J523" s="108">
        <f t="shared" si="36"/>
        <v>3169.14</v>
      </c>
      <c r="K523" s="108">
        <f t="shared" si="36"/>
        <v>0</v>
      </c>
      <c r="L523" s="89">
        <f t="shared" si="36"/>
        <v>1136726.01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122781.71+241857.37+35674.81</f>
        <v>400313.89</v>
      </c>
      <c r="G525" s="18">
        <f>49076.96+104119.65</f>
        <v>153196.60999999999</v>
      </c>
      <c r="H525" s="18"/>
      <c r="I525" s="18"/>
      <c r="J525" s="18"/>
      <c r="K525" s="18"/>
      <c r="L525" s="88">
        <f>SUM(F525:K525)</f>
        <v>553510.5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400313.89</v>
      </c>
      <c r="G528" s="89">
        <f t="shared" ref="G528:L528" si="37">SUM(G525:G527)</f>
        <v>153196.60999999999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553510.5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77444.86+28273.42</f>
        <v>105718.28</v>
      </c>
      <c r="G530" s="18">
        <f>27041.65+11899.6</f>
        <v>38941.25</v>
      </c>
      <c r="H530" s="18"/>
      <c r="I530" s="18"/>
      <c r="J530" s="18"/>
      <c r="K530" s="18">
        <v>855</v>
      </c>
      <c r="L530" s="88">
        <f>SUM(F530:K530)</f>
        <v>145514.53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105718.28</v>
      </c>
      <c r="G533" s="89">
        <f t="shared" ref="G533:L533" si="38">SUM(G530:G532)</f>
        <v>38941.25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855</v>
      </c>
      <c r="L533" s="89">
        <f t="shared" si="38"/>
        <v>145514.53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62324.86</v>
      </c>
      <c r="I535" s="18"/>
      <c r="J535" s="18"/>
      <c r="K535" s="18"/>
      <c r="L535" s="88">
        <f>SUM(F535:K535)</f>
        <v>62324.86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62324.86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62324.86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8932</v>
      </c>
      <c r="I540" s="18"/>
      <c r="J540" s="18"/>
      <c r="K540" s="18"/>
      <c r="L540" s="88">
        <f>SUM(F540:K540)</f>
        <v>8932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8932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8932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1298419.3800000001</v>
      </c>
      <c r="G544" s="89">
        <f t="shared" ref="G544:L544" si="41">G523+G528+G533+G538+G543</f>
        <v>428492.42</v>
      </c>
      <c r="H544" s="89">
        <f t="shared" si="41"/>
        <v>169780.65000000002</v>
      </c>
      <c r="I544" s="89">
        <f t="shared" si="41"/>
        <v>6291.31</v>
      </c>
      <c r="J544" s="89">
        <f t="shared" si="41"/>
        <v>3169.14</v>
      </c>
      <c r="K544" s="89">
        <f t="shared" si="41"/>
        <v>855</v>
      </c>
      <c r="L544" s="89">
        <f t="shared" si="41"/>
        <v>1907007.9000000001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1136726.01</v>
      </c>
      <c r="G548" s="87">
        <f>L525</f>
        <v>553510.5</v>
      </c>
      <c r="H548" s="87">
        <f>L530</f>
        <v>145514.53</v>
      </c>
      <c r="I548" s="87">
        <f>L535</f>
        <v>62324.86</v>
      </c>
      <c r="J548" s="87">
        <f>L540</f>
        <v>8932</v>
      </c>
      <c r="K548" s="87">
        <f>SUM(F548:J548)</f>
        <v>1907007.9000000001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1136726.01</v>
      </c>
      <c r="G551" s="89">
        <f t="shared" si="42"/>
        <v>553510.5</v>
      </c>
      <c r="H551" s="89">
        <f t="shared" si="42"/>
        <v>145514.53</v>
      </c>
      <c r="I551" s="89">
        <f t="shared" si="42"/>
        <v>62324.86</v>
      </c>
      <c r="J551" s="89">
        <f t="shared" si="42"/>
        <v>8932</v>
      </c>
      <c r="K551" s="89">
        <f t="shared" si="42"/>
        <v>1907007.9000000001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293045.03000000003</v>
      </c>
      <c r="I590" s="18"/>
      <c r="J590" s="18"/>
      <c r="K590" s="104">
        <f t="shared" ref="K590:K596" si="48">SUM(H590:J590)</f>
        <v>293045.03000000003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8932</v>
      </c>
      <c r="I591" s="18"/>
      <c r="J591" s="18"/>
      <c r="K591" s="104">
        <f t="shared" si="48"/>
        <v>8932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3687.88</v>
      </c>
      <c r="I593" s="18"/>
      <c r="J593" s="18"/>
      <c r="K593" s="104">
        <f t="shared" si="48"/>
        <v>3687.88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8145.49</v>
      </c>
      <c r="I594" s="18"/>
      <c r="J594" s="18"/>
      <c r="K594" s="104">
        <f t="shared" si="48"/>
        <v>8145.49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22.94</v>
      </c>
      <c r="I596" s="18"/>
      <c r="J596" s="18"/>
      <c r="K596" s="104">
        <f t="shared" si="48"/>
        <v>22.94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313833.34000000003</v>
      </c>
      <c r="I597" s="108">
        <f>SUM(I590:I596)</f>
        <v>0</v>
      </c>
      <c r="J597" s="108">
        <f>SUM(J590:J596)</f>
        <v>0</v>
      </c>
      <c r="K597" s="108">
        <f>SUM(K590:K596)</f>
        <v>313833.34000000003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81697.119999999995</v>
      </c>
      <c r="I603" s="18"/>
      <c r="J603" s="18"/>
      <c r="K603" s="104">
        <f>SUM(H603:J603)</f>
        <v>81697.119999999995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81697.119999999995</v>
      </c>
      <c r="I604" s="108">
        <f>SUM(I601:I603)</f>
        <v>0</v>
      </c>
      <c r="J604" s="108">
        <f>SUM(J601:J603)</f>
        <v>0</v>
      </c>
      <c r="K604" s="108">
        <f>SUM(K601:K603)</f>
        <v>81697.119999999995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221843.90999999997</v>
      </c>
      <c r="H616" s="109">
        <f>SUM(F51)</f>
        <v>221843.91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2766.9100000000003</v>
      </c>
      <c r="H617" s="109">
        <f>SUM(G51)</f>
        <v>2766.9100000000003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25949.01</v>
      </c>
      <c r="H618" s="109">
        <f>SUM(H51)</f>
        <v>25949.01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166836.28</v>
      </c>
      <c r="H620" s="109">
        <f>SUM(J51)</f>
        <v>166836.28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184682.95</v>
      </c>
      <c r="H621" s="109">
        <f>F475</f>
        <v>184682.95000000019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27.61</v>
      </c>
      <c r="H622" s="109">
        <f>G475</f>
        <v>27.610000000015134</v>
      </c>
      <c r="I622" s="121" t="s">
        <v>102</v>
      </c>
      <c r="J622" s="109">
        <f t="shared" si="50"/>
        <v>-1.5134560271690134E-11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166836.28</v>
      </c>
      <c r="H625" s="109">
        <f>J475</f>
        <v>166836.28000000003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8029219.79</v>
      </c>
      <c r="H626" s="104">
        <f>SUM(F467)</f>
        <v>8029219.79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169700.95</v>
      </c>
      <c r="H627" s="104">
        <f>SUM(G467)</f>
        <v>169700.95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209905.48</v>
      </c>
      <c r="H628" s="104">
        <f>SUM(H467)</f>
        <v>209905.48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57364.61</v>
      </c>
      <c r="H630" s="104">
        <f>SUM(J467)</f>
        <v>57364.61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7938451.2999999998</v>
      </c>
      <c r="H631" s="104">
        <f>SUM(F471)</f>
        <v>7938451.2999999998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209905.48</v>
      </c>
      <c r="H632" s="104">
        <f>SUM(H471)</f>
        <v>209905.48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79146.969999999987</v>
      </c>
      <c r="H633" s="104">
        <f>I368</f>
        <v>79146.969999999987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169715.94</v>
      </c>
      <c r="H634" s="104">
        <f>SUM(G471)</f>
        <v>169715.94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57364.61</v>
      </c>
      <c r="H636" s="164">
        <f>SUM(J467)</f>
        <v>57364.61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94539</v>
      </c>
      <c r="H637" s="164">
        <f>SUM(J471)</f>
        <v>94539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166836.28</v>
      </c>
      <c r="H639" s="104">
        <f>SUM(G460)</f>
        <v>166836.28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166836.28</v>
      </c>
      <c r="H641" s="104">
        <f>SUM(I460)</f>
        <v>166836.28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439.61</v>
      </c>
      <c r="H643" s="104">
        <f>H407</f>
        <v>439.60999999999996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56925</v>
      </c>
      <c r="H644" s="104">
        <f>G407</f>
        <v>56925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57364.61</v>
      </c>
      <c r="H645" s="104">
        <f>L407</f>
        <v>57364.61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313833.34000000003</v>
      </c>
      <c r="H646" s="104">
        <f>L207+L225+L243</f>
        <v>313833.34000000003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81697.119999999995</v>
      </c>
      <c r="H647" s="104">
        <f>(J256+J337)-(J254+J335)</f>
        <v>81697.119999999995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313833.34000000003</v>
      </c>
      <c r="H648" s="104">
        <f>H597</f>
        <v>313833.34000000003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25950</v>
      </c>
      <c r="H651" s="104">
        <f>K262+K344</f>
        <v>25950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56925</v>
      </c>
      <c r="H654" s="104">
        <f>K265+K346</f>
        <v>56925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7761972.7200000007</v>
      </c>
      <c r="G659" s="19">
        <f>(L228+L308+L358)</f>
        <v>0</v>
      </c>
      <c r="H659" s="19">
        <f>(L246+L327+L359)</f>
        <v>0</v>
      </c>
      <c r="I659" s="19">
        <f>SUM(F659:H659)</f>
        <v>7761972.7200000007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106432.27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106432.27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313833.34000000003</v>
      </c>
      <c r="G661" s="19">
        <f>(L225+L305)-(J225+J305)</f>
        <v>0</v>
      </c>
      <c r="H661" s="19">
        <f>(L243+L324)-(J243+J324)</f>
        <v>0</v>
      </c>
      <c r="I661" s="19">
        <f>SUM(F661:H661)</f>
        <v>313833.34000000003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81697.119999999995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81697.119999999995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7260009.9900000002</v>
      </c>
      <c r="G663" s="19">
        <f>G659-SUM(G660:G662)</f>
        <v>0</v>
      </c>
      <c r="H663" s="19">
        <f>H659-SUM(H660:H662)</f>
        <v>0</v>
      </c>
      <c r="I663" s="19">
        <f>I659-SUM(I660:I662)</f>
        <v>7260009.9900000002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436.52</v>
      </c>
      <c r="G664" s="249"/>
      <c r="H664" s="249"/>
      <c r="I664" s="19">
        <f>SUM(F664:H664)</f>
        <v>436.52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16631.560000000001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16631.560000000001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16631.560000000001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16631.560000000001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NORTH HAMPTON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2256712.42</v>
      </c>
      <c r="C9" s="230">
        <f>'DOE25'!G196+'DOE25'!G214+'DOE25'!G232+'DOE25'!G275+'DOE25'!G294+'DOE25'!G313</f>
        <v>955603.07</v>
      </c>
    </row>
    <row r="10" spans="1:3" x14ac:dyDescent="0.2">
      <c r="A10" t="s">
        <v>779</v>
      </c>
      <c r="B10" s="241">
        <f>2154257.74+27727.5</f>
        <v>2181985.2400000002</v>
      </c>
      <c r="C10" s="241">
        <f>947640.94+2210.99</f>
        <v>949851.92999999993</v>
      </c>
    </row>
    <row r="11" spans="1:3" x14ac:dyDescent="0.2">
      <c r="A11" t="s">
        <v>780</v>
      </c>
      <c r="B11" s="241">
        <f>5250.15+60</f>
        <v>5310.15</v>
      </c>
      <c r="C11" s="241">
        <v>440.74</v>
      </c>
    </row>
    <row r="12" spans="1:3" x14ac:dyDescent="0.2">
      <c r="A12" t="s">
        <v>781</v>
      </c>
      <c r="B12" s="241">
        <v>69417.03</v>
      </c>
      <c r="C12" s="241">
        <v>5310.4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2256712.42</v>
      </c>
      <c r="C13" s="232">
        <f>SUM(C10:C12)</f>
        <v>955603.07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1056562.01</v>
      </c>
      <c r="C18" s="230">
        <f>'DOE25'!G197+'DOE25'!G215+'DOE25'!G233+'DOE25'!G276+'DOE25'!G295+'DOE25'!G314</f>
        <v>324372.76999999996</v>
      </c>
    </row>
    <row r="19" spans="1:3" x14ac:dyDescent="0.2">
      <c r="A19" t="s">
        <v>779</v>
      </c>
      <c r="B19" s="241">
        <f>341043.65+44083.9</f>
        <v>385127.55000000005</v>
      </c>
      <c r="C19" s="241">
        <f>112805.09+10547.36</f>
        <v>123352.45</v>
      </c>
    </row>
    <row r="20" spans="1:3" x14ac:dyDescent="0.2">
      <c r="A20" t="s">
        <v>780</v>
      </c>
      <c r="B20" s="241">
        <f>407224.66+35</f>
        <v>407259.66</v>
      </c>
      <c r="C20" s="241">
        <v>113002.11</v>
      </c>
    </row>
    <row r="21" spans="1:3" x14ac:dyDescent="0.2">
      <c r="A21" t="s">
        <v>781</v>
      </c>
      <c r="B21" s="241">
        <f>77444.86+122781.71+28273.42+35674.81</f>
        <v>264174.8</v>
      </c>
      <c r="C21" s="241">
        <f>27041.65+49076.96+11899.6</f>
        <v>88018.21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1056562.01</v>
      </c>
      <c r="C22" s="232">
        <f>SUM(C19:C21)</f>
        <v>324372.77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35007.119999999995</v>
      </c>
      <c r="C36" s="236">
        <f>'DOE25'!G199+'DOE25'!G217+'DOE25'!G235+'DOE25'!G278+'DOE25'!G297+'DOE25'!G316</f>
        <v>2678.0699999999997</v>
      </c>
    </row>
    <row r="37" spans="1:3" x14ac:dyDescent="0.2">
      <c r="A37" t="s">
        <v>779</v>
      </c>
      <c r="B37" s="241">
        <v>2677.5</v>
      </c>
      <c r="C37" s="241">
        <v>204.85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32329.62</v>
      </c>
      <c r="C39" s="241">
        <v>2473.2199999999998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35007.119999999995</v>
      </c>
      <c r="C40" s="232">
        <f>SUM(C37:C39)</f>
        <v>2678.0699999999997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>NORTH HAMPTON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4797233.33</v>
      </c>
      <c r="D5" s="20">
        <f>SUM('DOE25'!L196:L199)+SUM('DOE25'!L214:L217)+SUM('DOE25'!L232:L235)-F5-G5</f>
        <v>4729912.3</v>
      </c>
      <c r="E5" s="244"/>
      <c r="F5" s="256">
        <f>SUM('DOE25'!J196:J199)+SUM('DOE25'!J214:J217)+SUM('DOE25'!J232:J235)</f>
        <v>8727.2300000000014</v>
      </c>
      <c r="G5" s="53">
        <f>SUM('DOE25'!K196:K199)+SUM('DOE25'!K214:K217)+SUM('DOE25'!K232:K235)</f>
        <v>58593.8</v>
      </c>
      <c r="H5" s="260"/>
    </row>
    <row r="6" spans="1:9" x14ac:dyDescent="0.2">
      <c r="A6" s="32">
        <v>2100</v>
      </c>
      <c r="B6" t="s">
        <v>801</v>
      </c>
      <c r="C6" s="246">
        <f t="shared" si="0"/>
        <v>535698.24999999988</v>
      </c>
      <c r="D6" s="20">
        <f>'DOE25'!L201+'DOE25'!L219+'DOE25'!L237-F6-G6</f>
        <v>535411.29999999993</v>
      </c>
      <c r="E6" s="244"/>
      <c r="F6" s="256">
        <f>'DOE25'!J201+'DOE25'!J219+'DOE25'!J237</f>
        <v>286.95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539386.34</v>
      </c>
      <c r="D7" s="20">
        <f>'DOE25'!L202+'DOE25'!L220+'DOE25'!L238-F7-G7</f>
        <v>477347.08999999997</v>
      </c>
      <c r="E7" s="244"/>
      <c r="F7" s="256">
        <f>'DOE25'!J202+'DOE25'!J220+'DOE25'!J238</f>
        <v>60654.27</v>
      </c>
      <c r="G7" s="53">
        <f>'DOE25'!K202+'DOE25'!K220+'DOE25'!K238</f>
        <v>1384.98</v>
      </c>
      <c r="H7" s="260"/>
    </row>
    <row r="8" spans="1:9" x14ac:dyDescent="0.2">
      <c r="A8" s="32">
        <v>2300</v>
      </c>
      <c r="B8" t="s">
        <v>802</v>
      </c>
      <c r="C8" s="246">
        <f t="shared" si="0"/>
        <v>162426.94</v>
      </c>
      <c r="D8" s="244"/>
      <c r="E8" s="20">
        <f>'DOE25'!L203+'DOE25'!L221+'DOE25'!L239-F8-G8-D9-D11</f>
        <v>148085.87</v>
      </c>
      <c r="F8" s="256">
        <f>'DOE25'!J203+'DOE25'!J221+'DOE25'!J239</f>
        <v>0</v>
      </c>
      <c r="G8" s="53">
        <f>'DOE25'!K203+'DOE25'!K221+'DOE25'!K239</f>
        <v>14341.07</v>
      </c>
      <c r="H8" s="260"/>
    </row>
    <row r="9" spans="1:9" x14ac:dyDescent="0.2">
      <c r="A9" s="32">
        <v>2310</v>
      </c>
      <c r="B9" t="s">
        <v>818</v>
      </c>
      <c r="C9" s="246">
        <f t="shared" si="0"/>
        <v>50217.79</v>
      </c>
      <c r="D9" s="245">
        <v>50217.79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12835.5</v>
      </c>
      <c r="D10" s="244"/>
      <c r="E10" s="245">
        <v>12835.5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30067.15</v>
      </c>
      <c r="D11" s="245">
        <v>30067.15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381390.79</v>
      </c>
      <c r="D12" s="20">
        <f>'DOE25'!L204+'DOE25'!L222+'DOE25'!L240-F12-G12</f>
        <v>379637.79</v>
      </c>
      <c r="E12" s="244"/>
      <c r="F12" s="256">
        <f>'DOE25'!J204+'DOE25'!J222+'DOE25'!J240</f>
        <v>0</v>
      </c>
      <c r="G12" s="53">
        <f>'DOE25'!K204+'DOE25'!K222+'DOE25'!K240</f>
        <v>1753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571897.37</v>
      </c>
      <c r="D14" s="20">
        <f>'DOE25'!L206+'DOE25'!L224+'DOE25'!L242-F14-G14</f>
        <v>559868.69999999995</v>
      </c>
      <c r="E14" s="244"/>
      <c r="F14" s="256">
        <f>'DOE25'!J206+'DOE25'!J224+'DOE25'!J242</f>
        <v>12028.67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313833.34000000003</v>
      </c>
      <c r="D15" s="20">
        <f>'DOE25'!L207+'DOE25'!L225+'DOE25'!L243-F15-G15</f>
        <v>313833.34000000003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200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200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473225</v>
      </c>
      <c r="D25" s="244"/>
      <c r="E25" s="244"/>
      <c r="F25" s="259"/>
      <c r="G25" s="257"/>
      <c r="H25" s="258">
        <f>'DOE25'!L259+'DOE25'!L260+'DOE25'!L340+'DOE25'!L341</f>
        <v>473225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94273.150000000009</v>
      </c>
      <c r="D29" s="20">
        <f>'DOE25'!L357+'DOE25'!L358+'DOE25'!L359-'DOE25'!I366-F29-G29</f>
        <v>93279.900000000009</v>
      </c>
      <c r="E29" s="244"/>
      <c r="F29" s="256">
        <f>'DOE25'!J357+'DOE25'!J358+'DOE25'!J359</f>
        <v>394.25</v>
      </c>
      <c r="G29" s="53">
        <f>'DOE25'!K357+'DOE25'!K358+'DOE25'!K359</f>
        <v>599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209905.48</v>
      </c>
      <c r="D31" s="20">
        <f>'DOE25'!L289+'DOE25'!L308+'DOE25'!L327+'DOE25'!L332+'DOE25'!L333+'DOE25'!L334-F31-G31</f>
        <v>202218.79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7686.69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7371794.1500000004</v>
      </c>
      <c r="E33" s="247">
        <f>SUM(E5:E31)</f>
        <v>160921.37</v>
      </c>
      <c r="F33" s="247">
        <f>SUM(F5:F31)</f>
        <v>82091.37</v>
      </c>
      <c r="G33" s="247">
        <f>SUM(G5:G31)</f>
        <v>84558.540000000008</v>
      </c>
      <c r="H33" s="247">
        <f>SUM(H5:H31)</f>
        <v>473225</v>
      </c>
    </row>
    <row r="35" spans="2:8" ht="12" thickBot="1" x14ac:dyDescent="0.25">
      <c r="B35" s="254" t="s">
        <v>847</v>
      </c>
      <c r="D35" s="255">
        <f>E33</f>
        <v>160921.37</v>
      </c>
      <c r="E35" s="250"/>
    </row>
    <row r="36" spans="2:8" ht="12" thickTop="1" x14ac:dyDescent="0.2">
      <c r="B36" t="s">
        <v>815</v>
      </c>
      <c r="D36" s="20">
        <f>D33</f>
        <v>7371794.1500000004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188199.88999999998</v>
      </c>
      <c r="D8" s="95">
        <f>'DOE25'!G9</f>
        <v>361.6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166836.28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24812.059999999998</v>
      </c>
      <c r="D11" s="95">
        <f>'DOE25'!G12</f>
        <v>1136.95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3010.11</v>
      </c>
      <c r="D12" s="95">
        <f>'DOE25'!G13</f>
        <v>1157.8399999999999</v>
      </c>
      <c r="E12" s="95">
        <f>'DOE25'!H13</f>
        <v>25949.01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5821.85</v>
      </c>
      <c r="D13" s="95">
        <f>'DOE25'!G14</f>
        <v>110.52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221843.90999999997</v>
      </c>
      <c r="D18" s="41">
        <f>SUM(D8:D17)</f>
        <v>2766.9100000000003</v>
      </c>
      <c r="E18" s="41">
        <f>SUM(E8:E17)</f>
        <v>25949.01</v>
      </c>
      <c r="F18" s="41">
        <f>SUM(F8:F17)</f>
        <v>0</v>
      </c>
      <c r="G18" s="41">
        <f>SUM(G8:G17)</f>
        <v>166836.28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25949.01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11300.79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2066.25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23793.919999999998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2739.3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37160.959999999999</v>
      </c>
      <c r="D31" s="41">
        <f>SUM(D21:D30)</f>
        <v>2739.3</v>
      </c>
      <c r="E31" s="41">
        <f>SUM(E21:E30)</f>
        <v>25949.01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27.61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6797.12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27668.080000000002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166836.28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10217.75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184682.95</v>
      </c>
      <c r="D49" s="41">
        <f>SUM(D34:D48)</f>
        <v>27.61</v>
      </c>
      <c r="E49" s="41">
        <f>SUM(E34:E48)</f>
        <v>0</v>
      </c>
      <c r="F49" s="41">
        <f>SUM(F34:F48)</f>
        <v>0</v>
      </c>
      <c r="G49" s="41">
        <f>SUM(G34:G48)</f>
        <v>166836.28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221843.91</v>
      </c>
      <c r="D50" s="41">
        <f>D49+D31</f>
        <v>2766.9100000000003</v>
      </c>
      <c r="E50" s="41">
        <f>E49+E31</f>
        <v>25949.01</v>
      </c>
      <c r="F50" s="41">
        <f>F49+F31</f>
        <v>0</v>
      </c>
      <c r="G50" s="41">
        <f>G49+G31</f>
        <v>166836.28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5976434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13499.5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1027.75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439.61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106432.27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32679.769999999997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47207.02</v>
      </c>
      <c r="D61" s="130">
        <f>SUM(D56:D60)</f>
        <v>106432.27</v>
      </c>
      <c r="E61" s="130">
        <f>SUM(E56:E60)</f>
        <v>0</v>
      </c>
      <c r="F61" s="130">
        <f>SUM(F56:F60)</f>
        <v>0</v>
      </c>
      <c r="G61" s="130">
        <f>SUM(G56:G60)</f>
        <v>439.61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6023641.0199999996</v>
      </c>
      <c r="D62" s="22">
        <f>D55+D61</f>
        <v>106432.27</v>
      </c>
      <c r="E62" s="22">
        <f>E55+E61</f>
        <v>0</v>
      </c>
      <c r="F62" s="22">
        <f>F55+F61</f>
        <v>0</v>
      </c>
      <c r="G62" s="22">
        <f>G55+G61</f>
        <v>439.61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166344.87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1656036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144.13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1822525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140398.45000000001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1786.72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140398.45000000001</v>
      </c>
      <c r="D77" s="130">
        <f>SUM(D71:D76)</f>
        <v>1786.72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1962923.45</v>
      </c>
      <c r="D80" s="130">
        <f>SUM(D78:D79)+D77+D69</f>
        <v>1786.72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35674.81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42655.32</v>
      </c>
      <c r="D87" s="95">
        <f>SUM('DOE25'!G152:G160)</f>
        <v>35531.96</v>
      </c>
      <c r="E87" s="95">
        <f>SUM('DOE25'!H152:H160)</f>
        <v>174230.67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42655.32</v>
      </c>
      <c r="D90" s="131">
        <f>SUM(D84:D89)</f>
        <v>35531.96</v>
      </c>
      <c r="E90" s="131">
        <f>SUM(E84:E89)</f>
        <v>209905.48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25950</v>
      </c>
      <c r="E95" s="95">
        <f>'DOE25'!H178</f>
        <v>0</v>
      </c>
      <c r="F95" s="95">
        <f>'DOE25'!I178</f>
        <v>0</v>
      </c>
      <c r="G95" s="95">
        <f>'DOE25'!J178</f>
        <v>56925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25950</v>
      </c>
      <c r="E102" s="86">
        <f>SUM(E92:E101)</f>
        <v>0</v>
      </c>
      <c r="F102" s="86">
        <f>SUM(F92:F101)</f>
        <v>0</v>
      </c>
      <c r="G102" s="86">
        <f>SUM(G92:G101)</f>
        <v>56925</v>
      </c>
    </row>
    <row r="103" spans="1:7" ht="12.75" thickTop="1" thickBot="1" x14ac:dyDescent="0.25">
      <c r="A103" s="33" t="s">
        <v>765</v>
      </c>
      <c r="C103" s="86">
        <f>C62+C80+C90+C102</f>
        <v>8029219.79</v>
      </c>
      <c r="D103" s="86">
        <f>D62+D80+D90+D102</f>
        <v>169700.95</v>
      </c>
      <c r="E103" s="86">
        <f>E62+E80+E90+E102</f>
        <v>209905.48</v>
      </c>
      <c r="F103" s="86">
        <f>F62+F80+F90+F102</f>
        <v>0</v>
      </c>
      <c r="G103" s="86">
        <f>G62+G80+G102</f>
        <v>57364.61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3279055.99</v>
      </c>
      <c r="D108" s="24" t="s">
        <v>289</v>
      </c>
      <c r="E108" s="95">
        <f>('DOE25'!L275)+('DOE25'!L294)+('DOE25'!L313)</f>
        <v>59820.259999999995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1411630.3099999998</v>
      </c>
      <c r="D109" s="24" t="s">
        <v>289</v>
      </c>
      <c r="E109" s="95">
        <f>('DOE25'!L276)+('DOE25'!L295)+('DOE25'!L314)</f>
        <v>139516.18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106547.03</v>
      </c>
      <c r="D111" s="24" t="s">
        <v>289</v>
      </c>
      <c r="E111" s="95">
        <f>+('DOE25'!L278)+('DOE25'!L297)+('DOE25'!L316)</f>
        <v>2882.35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4797233.33</v>
      </c>
      <c r="D114" s="86">
        <f>SUM(D108:D113)</f>
        <v>0</v>
      </c>
      <c r="E114" s="86">
        <f>SUM(E108:E113)</f>
        <v>202218.79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535698.24999999988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539386.34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242711.88</v>
      </c>
      <c r="D119" s="24" t="s">
        <v>289</v>
      </c>
      <c r="E119" s="95">
        <f>+('DOE25'!L282)+('DOE25'!L301)+('DOE25'!L320)</f>
        <v>7686.69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381390.79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571897.37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313833.34000000003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200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169715.94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2585117.9699999997</v>
      </c>
      <c r="D127" s="86">
        <f>SUM(D117:D126)</f>
        <v>169715.94</v>
      </c>
      <c r="E127" s="86">
        <f>SUM(E117:E126)</f>
        <v>7686.69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460000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13225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25950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46.42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57318.19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-439.61000000000058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556100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7938451.2999999998</v>
      </c>
      <c r="D144" s="86">
        <f>(D114+D127+D143)</f>
        <v>169715.94</v>
      </c>
      <c r="E144" s="86">
        <f>(E114+E127+E143)</f>
        <v>209905.48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July 1996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August 2011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4780000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5.67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460000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460000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460000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460000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NORTH HAMPTON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16632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16632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3338876</v>
      </c>
      <c r="D10" s="182">
        <f>ROUND((C10/$C$28)*100,1)</f>
        <v>43.5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1551146</v>
      </c>
      <c r="D11" s="182">
        <f>ROUND((C11/$C$28)*100,1)</f>
        <v>20.2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109429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535698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539386</v>
      </c>
      <c r="D16" s="182">
        <f t="shared" si="0"/>
        <v>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250599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381391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571897</v>
      </c>
      <c r="D20" s="182">
        <f t="shared" si="0"/>
        <v>7.5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313833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13225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63283.729999999996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7668763.7300000004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7668763.7300000004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460000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5976434</v>
      </c>
      <c r="D35" s="182">
        <f t="shared" ref="D35:D40" si="1">ROUND((C35/$C$41)*100,1)</f>
        <v>72.2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47646.629999999888</v>
      </c>
      <c r="D36" s="182">
        <f t="shared" si="1"/>
        <v>0.6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1822525</v>
      </c>
      <c r="D37" s="182">
        <f t="shared" si="1"/>
        <v>22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142185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288093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8276883.6299999999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D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4" t="s">
        <v>767</v>
      </c>
      <c r="B2" s="295"/>
      <c r="C2" s="295"/>
      <c r="D2" s="295"/>
      <c r="E2" s="295"/>
      <c r="F2" s="290" t="str">
        <f>'DOE25'!A2</f>
        <v>NORTH HAMPTON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71" t="s">
        <v>912</v>
      </c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2"/>
      <c r="B74" s="212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2"/>
      <c r="B75" s="212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2"/>
      <c r="B76" s="212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2"/>
      <c r="B77" s="212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2"/>
      <c r="B78" s="212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2"/>
      <c r="B79" s="212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2"/>
      <c r="B80" s="212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2"/>
      <c r="B81" s="212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2"/>
      <c r="B82" s="212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2"/>
      <c r="B83" s="212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2"/>
      <c r="B84" s="212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2"/>
      <c r="B85" s="212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2"/>
      <c r="B86" s="212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2"/>
      <c r="B87" s="212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2"/>
      <c r="B88" s="212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2"/>
      <c r="B89" s="212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2"/>
      <c r="B90" s="212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F0A" sheet="1" objects="1" scenarios="1"/>
  <mergeCells count="222"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A1:I1"/>
    <mergeCell ref="C3:M3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29:M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2012-09-11T13:09:02Z</cp:lastPrinted>
  <dcterms:created xsi:type="dcterms:W3CDTF">1997-12-04T19:04:30Z</dcterms:created>
  <dcterms:modified xsi:type="dcterms:W3CDTF">2012-11-21T15:15:42Z</dcterms:modified>
</cp:coreProperties>
</file>