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31" i="1" l="1"/>
  <c r="G18" i="1"/>
  <c r="G467" i="1"/>
  <c r="G471" i="1"/>
  <c r="H357" i="1"/>
  <c r="H359" i="1"/>
  <c r="G40" i="1"/>
  <c r="F49" i="1"/>
  <c r="F9" i="1"/>
  <c r="H522" i="1"/>
  <c r="H520" i="1"/>
  <c r="F578" i="1"/>
  <c r="H197" i="1"/>
  <c r="F118" i="1"/>
  <c r="F116" i="1"/>
  <c r="C37" i="12"/>
  <c r="C38" i="12"/>
  <c r="B37" i="12"/>
  <c r="B38" i="12"/>
  <c r="B20" i="12"/>
  <c r="C19" i="12"/>
  <c r="C20" i="12"/>
  <c r="B19" i="12"/>
  <c r="C10" i="12"/>
  <c r="B10" i="12"/>
  <c r="B11" i="12"/>
  <c r="H207" i="1"/>
  <c r="H243" i="1"/>
  <c r="G612" i="1"/>
  <c r="G610" i="1"/>
  <c r="F610" i="1"/>
  <c r="J603" i="1"/>
  <c r="H603" i="1"/>
  <c r="J594" i="1"/>
  <c r="H594" i="1"/>
  <c r="J593" i="1"/>
  <c r="H593" i="1"/>
  <c r="J591" i="1"/>
  <c r="H591" i="1"/>
  <c r="H578" i="1"/>
  <c r="H581" i="1"/>
  <c r="F581" i="1"/>
  <c r="K530" i="1"/>
  <c r="I530" i="1"/>
  <c r="H532" i="1"/>
  <c r="H530" i="1"/>
  <c r="G532" i="1"/>
  <c r="G530" i="1"/>
  <c r="F530" i="1"/>
  <c r="F532" i="1"/>
  <c r="H542" i="1"/>
  <c r="H540" i="1"/>
  <c r="H527" i="1"/>
  <c r="H525" i="1"/>
  <c r="I522" i="1"/>
  <c r="G522" i="1"/>
  <c r="F522" i="1"/>
  <c r="I520" i="1"/>
  <c r="G520" i="1"/>
  <c r="F520" i="1"/>
  <c r="J520" i="1"/>
  <c r="F467" i="1"/>
  <c r="G275" i="1"/>
  <c r="F276" i="1"/>
  <c r="G313" i="1"/>
  <c r="F313" i="1"/>
  <c r="I275" i="1"/>
  <c r="G276" i="1"/>
  <c r="F275" i="1"/>
  <c r="J275" i="1"/>
  <c r="H275" i="1"/>
  <c r="K275" i="1"/>
  <c r="H276" i="1"/>
  <c r="G314" i="1"/>
  <c r="F314" i="1"/>
  <c r="J276" i="1"/>
  <c r="H313" i="1"/>
  <c r="J313" i="1"/>
  <c r="I313" i="1"/>
  <c r="H206" i="1"/>
  <c r="J206" i="1"/>
  <c r="I206" i="1"/>
  <c r="I242" i="1"/>
  <c r="H242" i="1"/>
  <c r="G206" i="1"/>
  <c r="G242" i="1"/>
  <c r="F242" i="1"/>
  <c r="F206" i="1"/>
  <c r="G204" i="1"/>
  <c r="K240" i="1"/>
  <c r="K204" i="1"/>
  <c r="I204" i="1"/>
  <c r="I240" i="1"/>
  <c r="H240" i="1"/>
  <c r="H204" i="1"/>
  <c r="G240" i="1"/>
  <c r="F240" i="1"/>
  <c r="F204" i="1"/>
  <c r="J204" i="1"/>
  <c r="J240" i="1"/>
  <c r="H239" i="1"/>
  <c r="H203" i="1"/>
  <c r="G238" i="1"/>
  <c r="G202" i="1"/>
  <c r="F202" i="1"/>
  <c r="F238" i="1"/>
  <c r="L238" i="1" s="1"/>
  <c r="J238" i="1"/>
  <c r="I238" i="1"/>
  <c r="I202" i="1"/>
  <c r="H202" i="1"/>
  <c r="H238" i="1"/>
  <c r="I237" i="1"/>
  <c r="I201" i="1"/>
  <c r="G201" i="1"/>
  <c r="G237" i="1"/>
  <c r="F237" i="1"/>
  <c r="F201" i="1"/>
  <c r="K237" i="1"/>
  <c r="K201" i="1"/>
  <c r="J201" i="1"/>
  <c r="J237" i="1"/>
  <c r="H201" i="1"/>
  <c r="H237" i="1"/>
  <c r="I235" i="1"/>
  <c r="G199" i="1"/>
  <c r="F199" i="1"/>
  <c r="I199" i="1"/>
  <c r="H199" i="1"/>
  <c r="H235" i="1"/>
  <c r="G235" i="1"/>
  <c r="F235" i="1"/>
  <c r="H234" i="1"/>
  <c r="G197" i="1"/>
  <c r="F197" i="1"/>
  <c r="I197" i="1"/>
  <c r="I233" i="1"/>
  <c r="H233" i="1"/>
  <c r="G233" i="1"/>
  <c r="F233" i="1"/>
  <c r="K232" i="1"/>
  <c r="K196" i="1"/>
  <c r="J196" i="1"/>
  <c r="J232" i="1"/>
  <c r="I232" i="1"/>
  <c r="I196" i="1"/>
  <c r="H232" i="1"/>
  <c r="H196" i="1"/>
  <c r="G196" i="1"/>
  <c r="G232" i="1"/>
  <c r="F232" i="1"/>
  <c r="F196" i="1"/>
  <c r="F14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G6" i="13"/>
  <c r="G7" i="13"/>
  <c r="G12" i="13"/>
  <c r="G14" i="13"/>
  <c r="G15" i="13"/>
  <c r="G17" i="13"/>
  <c r="G18" i="13"/>
  <c r="G19" i="13"/>
  <c r="G29" i="13"/>
  <c r="K289" i="1"/>
  <c r="G31" i="13" s="1"/>
  <c r="G33" i="13" s="1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L201" i="1"/>
  <c r="L219" i="1"/>
  <c r="L237" i="1"/>
  <c r="F7" i="13"/>
  <c r="L202" i="1"/>
  <c r="L220" i="1"/>
  <c r="F12" i="13"/>
  <c r="L204" i="1"/>
  <c r="L222" i="1"/>
  <c r="L240" i="1"/>
  <c r="F14" i="13"/>
  <c r="L206" i="1"/>
  <c r="L224" i="1"/>
  <c r="L242" i="1"/>
  <c r="F15" i="13"/>
  <c r="L207" i="1"/>
  <c r="L225" i="1"/>
  <c r="L243" i="1"/>
  <c r="F17" i="13"/>
  <c r="L250" i="1"/>
  <c r="F18" i="13"/>
  <c r="L251" i="1"/>
  <c r="F19" i="13"/>
  <c r="L252" i="1"/>
  <c r="F29" i="13"/>
  <c r="L357" i="1"/>
  <c r="L358" i="1"/>
  <c r="L359" i="1"/>
  <c r="I366" i="1"/>
  <c r="J289" i="1"/>
  <c r="J308" i="1"/>
  <c r="J327" i="1"/>
  <c r="F31" i="13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A22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/>
  <c r="L611" i="1"/>
  <c r="G662" i="1"/>
  <c r="L610" i="1"/>
  <c r="F662" i="1"/>
  <c r="C40" i="10"/>
  <c r="F59" i="1"/>
  <c r="G59" i="1"/>
  <c r="H59" i="1"/>
  <c r="I59" i="1"/>
  <c r="F78" i="1"/>
  <c r="F93" i="1"/>
  <c r="F110" i="1"/>
  <c r="G110" i="1"/>
  <c r="G111" i="1"/>
  <c r="H78" i="1"/>
  <c r="H93" i="1"/>
  <c r="E57" i="2" s="1"/>
  <c r="E61" i="2" s="1"/>
  <c r="E62" i="2" s="1"/>
  <c r="H110" i="1"/>
  <c r="I110" i="1"/>
  <c r="I111" i="1"/>
  <c r="J110" i="1"/>
  <c r="J111" i="1"/>
  <c r="F120" i="1"/>
  <c r="F135" i="1"/>
  <c r="F139" i="1" s="1"/>
  <c r="G120" i="1"/>
  <c r="G135" i="1"/>
  <c r="G139" i="1"/>
  <c r="H120" i="1"/>
  <c r="H135" i="1"/>
  <c r="I120" i="1"/>
  <c r="I135" i="1"/>
  <c r="I139" i="1" s="1"/>
  <c r="I192" i="1" s="1"/>
  <c r="G629" i="1" s="1"/>
  <c r="J629" i="1" s="1"/>
  <c r="J120" i="1"/>
  <c r="J135" i="1"/>
  <c r="F146" i="1"/>
  <c r="F161" i="1"/>
  <c r="G146" i="1"/>
  <c r="G161" i="1"/>
  <c r="G168" i="1"/>
  <c r="H146" i="1"/>
  <c r="E84" i="2"/>
  <c r="H161" i="1"/>
  <c r="I146" i="1"/>
  <c r="I161" i="1"/>
  <c r="C10" i="10"/>
  <c r="C11" i="10"/>
  <c r="C12" i="10"/>
  <c r="C13" i="10"/>
  <c r="C15" i="10"/>
  <c r="C17" i="10"/>
  <c r="C18" i="10"/>
  <c r="C19" i="10"/>
  <c r="C20" i="10"/>
  <c r="C21" i="10"/>
  <c r="L249" i="1"/>
  <c r="L331" i="1"/>
  <c r="E112" i="2" s="1"/>
  <c r="E114" i="2" s="1"/>
  <c r="L253" i="1"/>
  <c r="C24" i="10" s="1"/>
  <c r="C25" i="10"/>
  <c r="L267" i="1"/>
  <c r="L268" i="1"/>
  <c r="L348" i="1"/>
  <c r="E141" i="2"/>
  <c r="L349" i="1"/>
  <c r="I664" i="1"/>
  <c r="I669" i="1"/>
  <c r="L210" i="1"/>
  <c r="L228" i="1"/>
  <c r="F660" i="1"/>
  <c r="G660" i="1"/>
  <c r="H660" i="1"/>
  <c r="F661" i="1"/>
  <c r="G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L521" i="1"/>
  <c r="F549" i="1"/>
  <c r="L522" i="1"/>
  <c r="F550" i="1"/>
  <c r="L525" i="1"/>
  <c r="G548" i="1"/>
  <c r="L526" i="1"/>
  <c r="G549" i="1"/>
  <c r="L527" i="1"/>
  <c r="G550" i="1"/>
  <c r="L530" i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L541" i="1"/>
  <c r="J549" i="1"/>
  <c r="L542" i="1"/>
  <c r="J550" i="1"/>
  <c r="E131" i="2"/>
  <c r="E130" i="2"/>
  <c r="K269" i="1"/>
  <c r="J269" i="1"/>
  <c r="I269" i="1"/>
  <c r="H269" i="1"/>
  <c r="G269" i="1"/>
  <c r="L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/>
  <c r="C13" i="2"/>
  <c r="D13" i="2"/>
  <c r="E13" i="2"/>
  <c r="F13" i="2"/>
  <c r="I442" i="1"/>
  <c r="J14" i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C114" i="2" s="1"/>
  <c r="C113" i="2"/>
  <c r="E113" i="2"/>
  <c r="D114" i="2"/>
  <c r="F114" i="2"/>
  <c r="G114" i="2"/>
  <c r="C117" i="2"/>
  <c r="E117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/>
  <c r="L264" i="1"/>
  <c r="C136" i="2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J616" i="1" s="1"/>
  <c r="G50" i="1"/>
  <c r="G51" i="1"/>
  <c r="H617" i="1" s="1"/>
  <c r="H50" i="1"/>
  <c r="H51" i="1" s="1"/>
  <c r="H618" i="1" s="1"/>
  <c r="J618" i="1" s="1"/>
  <c r="I50" i="1"/>
  <c r="I51" i="1"/>
  <c r="H619" i="1" s="1"/>
  <c r="J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I191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I337" i="1"/>
  <c r="I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I433" i="1"/>
  <c r="J432" i="1"/>
  <c r="F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G570" i="1" s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G648" i="1"/>
  <c r="J648" i="1"/>
  <c r="I597" i="1"/>
  <c r="J597" i="1"/>
  <c r="H650" i="1" s="1"/>
  <c r="G650" i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J641" i="1"/>
  <c r="G642" i="1"/>
  <c r="H642" i="1"/>
  <c r="G643" i="1"/>
  <c r="H643" i="1"/>
  <c r="G644" i="1"/>
  <c r="H644" i="1"/>
  <c r="H646" i="1"/>
  <c r="G649" i="1"/>
  <c r="H649" i="1"/>
  <c r="J649" i="1"/>
  <c r="G651" i="1"/>
  <c r="H651" i="1"/>
  <c r="J651" i="1" s="1"/>
  <c r="G652" i="1"/>
  <c r="H652" i="1"/>
  <c r="J652" i="1"/>
  <c r="G653" i="1"/>
  <c r="H653" i="1"/>
  <c r="J653" i="1" s="1"/>
  <c r="H654" i="1"/>
  <c r="F191" i="1"/>
  <c r="L255" i="1"/>
  <c r="K256" i="1"/>
  <c r="K270" i="1" s="1"/>
  <c r="I256" i="1"/>
  <c r="I270" i="1" s="1"/>
  <c r="G256" i="1"/>
  <c r="G270" i="1" s="1"/>
  <c r="G159" i="2"/>
  <c r="C18" i="2"/>
  <c r="F31" i="2"/>
  <c r="C26" i="10"/>
  <c r="L327" i="1"/>
  <c r="L350" i="1"/>
  <c r="I661" i="1"/>
  <c r="L289" i="1"/>
  <c r="F659" i="1" s="1"/>
  <c r="A31" i="12"/>
  <c r="C69" i="2"/>
  <c r="A40" i="12"/>
  <c r="D12" i="13"/>
  <c r="C12" i="13"/>
  <c r="G161" i="2"/>
  <c r="D61" i="2"/>
  <c r="D62" i="2"/>
  <c r="E49" i="2"/>
  <c r="D18" i="13"/>
  <c r="C18" i="13" s="1"/>
  <c r="D15" i="13"/>
  <c r="C15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/>
  <c r="F61" i="2"/>
  <c r="F62" i="2"/>
  <c r="F103" i="2" s="1"/>
  <c r="D31" i="2"/>
  <c r="C77" i="2"/>
  <c r="D49" i="2"/>
  <c r="D50" i="2" s="1"/>
  <c r="G156" i="2"/>
  <c r="F49" i="2"/>
  <c r="F50" i="2"/>
  <c r="F18" i="2"/>
  <c r="G162" i="2"/>
  <c r="G160" i="2"/>
  <c r="G157" i="2"/>
  <c r="G155" i="2"/>
  <c r="E143" i="2"/>
  <c r="G102" i="2"/>
  <c r="E102" i="2"/>
  <c r="C102" i="2"/>
  <c r="D90" i="2"/>
  <c r="F90" i="2"/>
  <c r="C61" i="2"/>
  <c r="C62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C80" i="2"/>
  <c r="E77" i="2"/>
  <c r="E80" i="2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I662" i="1"/>
  <c r="I660" i="1"/>
  <c r="I168" i="1"/>
  <c r="H168" i="1"/>
  <c r="J270" i="1"/>
  <c r="G551" i="1"/>
  <c r="E50" i="2"/>
  <c r="J643" i="1"/>
  <c r="J642" i="1"/>
  <c r="J475" i="1"/>
  <c r="H625" i="1"/>
  <c r="H475" i="1"/>
  <c r="H623" i="1" s="1"/>
  <c r="J623" i="1" s="1"/>
  <c r="F475" i="1"/>
  <c r="H621" i="1"/>
  <c r="I475" i="1"/>
  <c r="H624" i="1"/>
  <c r="G475" i="1"/>
  <c r="H622" i="1"/>
  <c r="J622" i="1" s="1"/>
  <c r="G337" i="1"/>
  <c r="G351" i="1" s="1"/>
  <c r="D144" i="2"/>
  <c r="C23" i="10"/>
  <c r="F168" i="1"/>
  <c r="J139" i="1"/>
  <c r="J621" i="1"/>
  <c r="F570" i="1"/>
  <c r="H256" i="1"/>
  <c r="H270" i="1" s="1"/>
  <c r="G62" i="2"/>
  <c r="G103" i="2" s="1"/>
  <c r="G12" i="2"/>
  <c r="K549" i="1"/>
  <c r="K597" i="1"/>
  <c r="G646" i="1" s="1"/>
  <c r="J646" i="1"/>
  <c r="K544" i="1"/>
  <c r="J617" i="1"/>
  <c r="C29" i="10"/>
  <c r="H139" i="1"/>
  <c r="L400" i="1"/>
  <c r="C138" i="2" s="1"/>
  <c r="L392" i="1"/>
  <c r="A13" i="12"/>
  <c r="F22" i="13"/>
  <c r="H25" i="13"/>
  <c r="C103" i="2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H192" i="1" s="1"/>
  <c r="G628" i="1" s="1"/>
  <c r="J628" i="1" s="1"/>
  <c r="E127" i="2"/>
  <c r="E144" i="2"/>
  <c r="C35" i="10"/>
  <c r="C36" i="10"/>
  <c r="L308" i="1"/>
  <c r="D5" i="13"/>
  <c r="E16" i="13"/>
  <c r="J624" i="1"/>
  <c r="C49" i="2"/>
  <c r="C50" i="2"/>
  <c r="J654" i="1"/>
  <c r="J644" i="1"/>
  <c r="J192" i="1"/>
  <c r="L569" i="1"/>
  <c r="I570" i="1"/>
  <c r="I544" i="1"/>
  <c r="C39" i="10"/>
  <c r="L564" i="1"/>
  <c r="L570" i="1" s="1"/>
  <c r="G544" i="1"/>
  <c r="H544" i="1"/>
  <c r="K550" i="1"/>
  <c r="F143" i="2"/>
  <c r="F144" i="2" s="1"/>
  <c r="C5" i="13"/>
  <c r="C22" i="13"/>
  <c r="F33" i="13"/>
  <c r="C137" i="2"/>
  <c r="L407" i="1"/>
  <c r="C16" i="13"/>
  <c r="E33" i="13"/>
  <c r="D35" i="13" s="1"/>
  <c r="G659" i="1"/>
  <c r="D31" i="13"/>
  <c r="C31" i="13"/>
  <c r="L337" i="1"/>
  <c r="L351" i="1"/>
  <c r="G632" i="1" s="1"/>
  <c r="J632" i="1" s="1"/>
  <c r="C25" i="13"/>
  <c r="H33" i="13"/>
  <c r="G630" i="1"/>
  <c r="J630" i="1" s="1"/>
  <c r="G645" i="1"/>
  <c r="J645" i="1" s="1"/>
  <c r="G636" i="1"/>
  <c r="J636" i="1" s="1"/>
  <c r="H645" i="1"/>
  <c r="G663" i="1"/>
  <c r="G671" i="1" s="1"/>
  <c r="G666" i="1"/>
  <c r="C140" i="2"/>
  <c r="C143" i="2" s="1"/>
  <c r="F544" i="1"/>
  <c r="H433" i="1"/>
  <c r="B163" i="2"/>
  <c r="G163" i="2" s="1"/>
  <c r="K502" i="1"/>
  <c r="D102" i="2"/>
  <c r="D103" i="2"/>
  <c r="J548" i="1"/>
  <c r="J551" i="1"/>
  <c r="L543" i="1"/>
  <c r="H548" i="1"/>
  <c r="H551" i="1" s="1"/>
  <c r="L533" i="1"/>
  <c r="F548" i="1"/>
  <c r="L523" i="1"/>
  <c r="L544" i="1" s="1"/>
  <c r="L381" i="1"/>
  <c r="G635" i="1" s="1"/>
  <c r="J635" i="1" s="1"/>
  <c r="E90" i="2"/>
  <c r="E103" i="2"/>
  <c r="G433" i="1"/>
  <c r="K548" i="1"/>
  <c r="K551" i="1" s="1"/>
  <c r="F551" i="1"/>
  <c r="F663" i="1" l="1"/>
  <c r="J351" i="1"/>
  <c r="H647" i="1"/>
  <c r="J647" i="1" s="1"/>
  <c r="J50" i="1"/>
  <c r="G36" i="2"/>
  <c r="G49" i="2" s="1"/>
  <c r="I551" i="1"/>
  <c r="F192" i="1"/>
  <c r="G626" i="1" s="1"/>
  <c r="J626" i="1" s="1"/>
  <c r="C38" i="10"/>
  <c r="L246" i="1"/>
  <c r="C16" i="10"/>
  <c r="C118" i="2"/>
  <c r="C127" i="2" s="1"/>
  <c r="C144" i="2" s="1"/>
  <c r="D7" i="13"/>
  <c r="G22" i="2"/>
  <c r="G31" i="2" s="1"/>
  <c r="J32" i="1"/>
  <c r="G8" i="2"/>
  <c r="G18" i="2" s="1"/>
  <c r="J19" i="1"/>
  <c r="G620" i="1" s="1"/>
  <c r="C27" i="10"/>
  <c r="G634" i="1"/>
  <c r="J634" i="1" s="1"/>
  <c r="C7" i="13" l="1"/>
  <c r="D33" i="13"/>
  <c r="D36" i="13" s="1"/>
  <c r="C28" i="10"/>
  <c r="D16" i="10"/>
  <c r="C41" i="10"/>
  <c r="D38" i="10" s="1"/>
  <c r="G625" i="1"/>
  <c r="J625" i="1" s="1"/>
  <c r="J51" i="1"/>
  <c r="H620" i="1" s="1"/>
  <c r="J620" i="1" s="1"/>
  <c r="F671" i="1"/>
  <c r="C4" i="10" s="1"/>
  <c r="F666" i="1"/>
  <c r="H659" i="1"/>
  <c r="L256" i="1"/>
  <c r="L270" i="1" s="1"/>
  <c r="G631" i="1" s="1"/>
  <c r="J631" i="1" s="1"/>
  <c r="G50" i="2"/>
  <c r="H663" i="1" l="1"/>
  <c r="I659" i="1"/>
  <c r="I663" i="1" s="1"/>
  <c r="D23" i="10"/>
  <c r="D25" i="10"/>
  <c r="D22" i="10"/>
  <c r="D17" i="10"/>
  <c r="D26" i="10"/>
  <c r="D18" i="10"/>
  <c r="D13" i="10"/>
  <c r="D20" i="10"/>
  <c r="D10" i="10"/>
  <c r="D24" i="10"/>
  <c r="D15" i="10"/>
  <c r="D19" i="10"/>
  <c r="D12" i="10"/>
  <c r="D21" i="10"/>
  <c r="D11" i="10"/>
  <c r="C30" i="10"/>
  <c r="D36" i="10"/>
  <c r="D37" i="10"/>
  <c r="D35" i="10"/>
  <c r="D39" i="10"/>
  <c r="D40" i="10"/>
  <c r="H655" i="1"/>
  <c r="D27" i="10"/>
  <c r="I671" i="1" l="1"/>
  <c r="C7" i="10" s="1"/>
  <c r="I666" i="1"/>
  <c r="D41" i="10"/>
  <c r="D28" i="10"/>
  <c r="H671" i="1"/>
  <c r="C6" i="10" s="1"/>
  <c r="H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<sst xmlns="http://schemas.openxmlformats.org/spreadsheetml/2006/main" count="3947" uniqueCount="914">
  <si>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</si>
  <si>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</si>
  <si>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</si>
  <si>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</si>
  <si>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</si>
  <si>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</si>
  <si>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</si>
  <si>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</si>
  <si>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</si>
  <si>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</si>
  <si>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</si>
  <si>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</si>
  <si>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</si>
  <si>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</si>
  <si>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</si>
  <si>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</si>
  <si>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</si>
  <si>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</si>
  <si>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</si>
  <si>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</si>
  <si>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</si>
  <si>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</si>
  <si>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</si>
  <si>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</si>
  <si>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</si>
  <si>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</si>
  <si>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</si>
  <si>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</si>
  <si>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</si>
  <si>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</si>
  <si>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</si>
  <si>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</si>
  <si>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</si>
  <si>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</si>
  <si>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</si>
  <si>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</si>
  <si>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</si>
  <si>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</si>
  <si>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</si>
  <si>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</si>
  <si>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</si>
  <si>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</si>
  <si>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</si>
  <si>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</si>
  <si>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</si>
  <si>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</si>
  <si>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</si>
  <si>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</si>
  <si>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</si>
  <si>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</si>
  <si>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</si>
  <si>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</si>
  <si>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</si>
  <si>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</si>
  <si>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</si>
  <si>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</si>
  <si>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</si>
  <si>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</si>
  <si>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</si>
  <si>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</si>
  <si>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</si>
  <si>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</si>
  <si>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</si>
  <si>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</si>
  <si>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</si>
  <si>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</si>
  <si>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</si>
  <si>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</si>
  <si>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</si>
  <si>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</si>
  <si>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</si>
  <si>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</si>
  <si>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</si>
  <si>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</si>
  <si>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</si>
  <si>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</si>
  <si>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</si>
  <si>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</si>
  <si>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</si>
  <si>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</si>
  <si>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</si>
  <si>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</si>
  <si>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</si>
  <si>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</si>
  <si>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</si>
  <si>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</si>
  <si>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</si>
  <si>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</si>
  <si>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</si>
  <si>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</si>
  <si>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</si>
  <si>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</si>
  <si>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</si>
  <si>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</si>
  <si>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</si>
  <si>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</si>
  <si>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</si>
  <si>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</si>
  <si>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</si>
  <si>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</si>
  <si>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</si>
  <si>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</si>
  <si>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</si>
  <si>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</si>
  <si>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</si>
  <si>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</si>
  <si>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</si>
  <si>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</si>
  <si>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</si>
  <si>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</si>
  <si>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</si>
  <si>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</si>
  <si>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</si>
  <si>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</si>
  <si>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</si>
  <si>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</si>
  <si>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</si>
  <si>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</si>
  <si>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</si>
  <si>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</si>
  <si>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</si>
  <si>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</si>
  <si>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</si>
  <si>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</si>
  <si>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</si>
  <si>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</si>
  <si>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</si>
  <si>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</si>
  <si>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</si>
  <si>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</si>
  <si>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</si>
  <si>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</si>
  <si>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</si>
  <si>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</si>
  <si>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</si>
  <si>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</si>
  <si>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</si>
  <si>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</si>
  <si>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</si>
  <si>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</si>
  <si>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</si>
  <si>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</si>
  <si>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</si>
  <si>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</si>
  <si>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</si>
  <si>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</si>
  <si>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</si>
  <si>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</si>
  <si>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</si>
  <si>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</si>
  <si>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</si>
  <si>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</si>
  <si>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</si>
  <si>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</si>
  <si>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</si>
  <si>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</si>
  <si>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</si>
  <si>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</si>
  <si>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</si>
  <si>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</si>
  <si>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</si>
  <si>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</si>
  <si>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</si>
  <si>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</si>
  <si>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</si>
  <si>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</si>
  <si>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</si>
  <si>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</si>
  <si>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</si>
  <si>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</si>
  <si>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</si>
  <si>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</si>
  <si>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</si>
  <si>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</si>
  <si>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</si>
  <si>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</si>
  <si>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</si>
  <si>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</si>
  <si>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</si>
  <si>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</si>
  <si>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</si>
  <si>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</si>
  <si>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</si>
  <si>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</si>
  <si>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</si>
  <si>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</si>
  <si>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</si>
  <si>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</si>
  <si>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</si>
  <si>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</si>
  <si>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</si>
  <si>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</si>
  <si>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</si>
  <si>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</si>
  <si>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</si>
  <si>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</si>
  <si>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</si>
  <si>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</si>
  <si>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</si>
  <si>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</si>
  <si>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</si>
  <si>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</si>
  <si>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</si>
  <si>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</si>
  <si>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</si>
  <si>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</si>
  <si>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</si>
  <si>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</si>
  <si>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</si>
  <si>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</si>
  <si>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</si>
  <si>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</si>
  <si>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</si>
  <si>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</si>
  <si>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</si>
  <si>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</si>
  <si>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</si>
  <si>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</si>
  <si>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</si>
  <si>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</si>
  <si>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</si>
  <si>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</si>
  <si>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</si>
  <si>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</si>
  <si>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</si>
  <si>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</si>
  <si>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</si>
  <si>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</si>
  <si>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</si>
  <si>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</si>
  <si>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</si>
  <si>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</si>
  <si>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</si>
  <si>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</si>
  <si>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</si>
  <si>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</si>
  <si>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</si>
  <si>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</si>
  <si>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</si>
  <si>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</si>
  <si>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</si>
  <si>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</si>
  <si>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</si>
  <si>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</si>
  <si>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</si>
  <si>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</si>
  <si>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</si>
  <si>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</si>
  <si>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</si>
  <si>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</si>
  <si>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</si>
  <si>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</si>
  <si>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</si>
  <si>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</si>
  <si>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</si>
  <si>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</si>
  <si>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</si>
  <si>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</si>
  <si>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</si>
  <si>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</si>
  <si>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</si>
  <si>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</si>
  <si>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</si>
  <si>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</si>
  <si>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</si>
  <si>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</si>
  <si>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</si>
  <si>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</si>
  <si>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</si>
  <si>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</si>
  <si>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</si>
  <si>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</si>
  <si>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</si>
  <si>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</si>
  <si>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</si>
  <si>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</si>
  <si>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</si>
  <si>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</si>
  <si>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</si>
  <si>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</si>
  <si>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</si>
  <si>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</si>
  <si>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</si>
  <si>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</si>
  <si>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</si>
  <si>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</si>
  <si>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</si>
  <si>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</si>
  <si>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</si>
  <si>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</si>
  <si>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</si>
  <si>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</si>
  <si>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</si>
  <si>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</si>
  <si>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</si>
  <si>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</si>
  <si>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</si>
  <si>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</si>
  <si>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</si>
  <si>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</si>
  <si>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</si>
  <si>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</si>
  <si>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</si>
  <si>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</si>
  <si>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</si>
  <si>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</si>
  <si>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</si>
  <si>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</si>
  <si>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</si>
  <si>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</si>
  <si>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</si>
  <si>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</si>
  <si>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</si>
  <si>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</si>
  <si>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</si>
  <si>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</si>
  <si>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</si>
  <si>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</si>
  <si>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</si>
  <si>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</si>
  <si>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</si>
  <si>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</si>
  <si>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</si>
  <si>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</si>
  <si>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</si>
  <si>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</si>
  <si>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</si>
  <si>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</si>
  <si>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</si>
  <si>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</si>
  <si>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</si>
  <si>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</si>
  <si>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</si>
  <si>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</si>
  <si>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</si>
  <si>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</si>
  <si>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</si>
  <si>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</si>
  <si>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</si>
  <si>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</si>
  <si>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</si>
  <si>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</si>
  <si>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</si>
  <si>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</si>
  <si>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</si>
  <si>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</si>
  <si>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</si>
  <si>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</si>
  <si>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</si>
  <si>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</si>
  <si>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</si>
  <si>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</si>
  <si>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</si>
  <si>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</si>
  <si>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</si>
  <si>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</si>
  <si>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</si>
  <si>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</si>
  <si>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</si>
  <si>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</si>
  <si>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</si>
  <si>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</si>
  <si>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</si>
  <si>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</si>
  <si>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</si>
  <si>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</si>
  <si>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</si>
  <si>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</si>
  <si>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</si>
  <si>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</si>
  <si>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</si>
  <si>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</si>
  <si>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</si>
  <si>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</si>
  <si>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</si>
  <si>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</si>
  <si>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</si>
  <si>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</si>
  <si>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</si>
  <si>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</si>
  <si>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</si>
  <si>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</si>
  <si>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</si>
  <si>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</si>
  <si>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</si>
  <si>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</si>
  <si>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</si>
  <si>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</si>
  <si>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</si>
  <si>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</si>
  <si>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</si>
  <si>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</si>
  <si>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</si>
  <si>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</si>
  <si>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</si>
  <si>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</si>
  <si>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</si>
  <si>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</si>
  <si>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</si>
  <si>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</si>
  <si>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</si>
  <si>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</si>
  <si>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</si>
  <si>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</si>
  <si>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</si>
  <si>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</si>
  <si>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</si>
  <si>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</si>
  <si>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</si>
  <si>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</si>
  <si>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</si>
  <si>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</si>
  <si>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</si>
  <si>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</si>
  <si>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</si>
  <si>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</si>
  <si>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</si>
  <si>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</si>
  <si>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</si>
  <si>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</si>
  <si>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</si>
  <si>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</si>
  <si>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</si>
  <si>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</si>
  <si>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</si>
  <si>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</si>
  <si>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</si>
  <si>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</si>
  <si>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</si>
  <si>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</si>
  <si>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</si>
  <si>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</si>
  <si>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</si>
  <si>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</si>
  <si>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</si>
  <si>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</si>
  <si>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</si>
  <si>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</si>
  <si>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</si>
  <si>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</si>
  <si>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</si>
  <si>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</si>
  <si>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</si>
  <si>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</si>
  <si>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</si>
  <si>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</si>
  <si>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</si>
  <si>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</si>
  <si>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</si>
  <si>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</si>
  <si>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</si>
  <si>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</si>
  <si>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</si>
  <si>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</si>
  <si>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</si>
  <si>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</si>
  <si>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</si>
  <si>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</si>
  <si>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</si>
  <si>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</si>
  <si>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</si>
  <si>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</si>
  <si>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</si>
  <si>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</si>
  <si>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</si>
  <si>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</si>
  <si>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</si>
  <si>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</si>
  <si>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</si>
  <si>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</si>
  <si>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</si>
  <si>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</si>
  <si>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</si>
  <si>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</si>
  <si>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</si>
  <si>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</si>
  <si>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</si>
  <si>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</si>
  <si>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</si>
  <si>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</si>
  <si>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</si>
  <si>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</si>
  <si>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</si>
  <si>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</si>
  <si>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</si>
  <si>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</si>
  <si>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</si>
  <si>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</si>
  <si>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</si>
  <si>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</si>
  <si>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</si>
  <si>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</si>
  <si>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</si>
  <si>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</si>
  <si>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</si>
  <si>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</si>
  <si>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</si>
  <si>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</si>
  <si>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</si>
  <si>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</si>
  <si>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</si>
  <si>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</si>
  <si>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</si>
  <si>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</si>
  <si>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</si>
  <si>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</si>
  <si>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</si>
  <si>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</si>
  <si>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</si>
  <si>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</si>
  <si>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</si>
  <si>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</si>
  <si>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</si>
  <si>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</si>
  <si>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</si>
  <si>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</si>
  <si>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</si>
  <si>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</si>
  <si>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</si>
  <si>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</si>
  <si>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</si>
  <si>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</si>
  <si>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</si>
  <si>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</si>
  <si>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</si>
  <si>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</si>
  <si>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</si>
  <si>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</si>
  <si>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</si>
  <si>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</si>
  <si>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</si>
  <si>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</si>
  <si>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</si>
  <si>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</si>
  <si>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</si>
  <si>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</si>
  <si>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</si>
  <si>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</si>
  <si>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</si>
  <si>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</si>
  <si>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</si>
  <si>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</si>
  <si>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</si>
  <si>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</si>
  <si>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</si>
  <si>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</si>
  <si>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</si>
  <si>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</si>
  <si>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</si>
  <si>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</si>
  <si>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</si>
  <si>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</si>
  <si>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</si>
  <si>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</si>
  <si>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</si>
  <si>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</si>
  <si>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</si>
  <si>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</si>
  <si>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</si>
  <si>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</si>
  <si>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</si>
  <si>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</si>
  <si>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</si>
  <si>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</si>
  <si>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</si>
  <si>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</si>
  <si>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</si>
  <si>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</si>
  <si>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</si>
  <si>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</si>
  <si>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</si>
  <si>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</si>
  <si>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</si>
  <si>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</si>
  <si>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</si>
  <si>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</si>
  <si>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</si>
  <si>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</si>
  <si>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</si>
  <si>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</si>
  <si>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</si>
  <si>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</si>
  <si>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</si>
  <si>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</si>
  <si>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</si>
  <si>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</si>
  <si>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</si>
  <si>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</si>
  <si>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</si>
  <si>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</si>
  <si>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</si>
  <si>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</si>
  <si>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</si>
  <si>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</si>
  <si>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</si>
  <si>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</si>
  <si>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</si>
  <si>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</si>
  <si>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</si>
  <si>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</si>
  <si>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</si>
  <si>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</si>
  <si>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</si>
  <si>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</si>
  <si>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</si>
  <si>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</si>
  <si>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</si>
  <si>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</si>
  <si>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</si>
  <si>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</si>
  <si>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</si>
  <si>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</si>
  <si>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</si>
  <si>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</si>
  <si>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</si>
  <si>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</si>
  <si>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</si>
  <si>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</si>
  <si>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</si>
  <si>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</si>
  <si>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</si>
  <si>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</si>
  <si>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</si>
  <si>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</si>
  <si>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</si>
  <si>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</si>
  <si>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</si>
  <si>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</si>
  <si>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</si>
  <si>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</si>
  <si>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</si>
  <si>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</si>
  <si>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</si>
  <si>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</si>
  <si>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</si>
  <si>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</si>
  <si>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</si>
  <si>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</si>
  <si>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</si>
  <si>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</si>
  <si>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</si>
  <si>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</si>
  <si>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</si>
  <si>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</si>
  <si>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</si>
  <si>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</si>
  <si>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</si>
  <si>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</si>
  <si>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</si>
  <si>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</si>
  <si>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</si>
  <si>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</si>
  <si>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</si>
  <si>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</si>
  <si>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</si>
  <si>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</si>
  <si>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</si>
  <si>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</si>
  <si>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</si>
  <si>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</si>
  <si>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</si>
  <si>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</si>
  <si>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</si>
  <si>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</si>
  <si>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</si>
  <si>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</si>
  <si>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</si>
  <si>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</si>
  <si>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</si>
  <si>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</si>
  <si>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</si>
  <si>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</si>
  <si>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</si>
  <si>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</si>
  <si>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</si>
  <si>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</si>
  <si>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</si>
  <si>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</si>
  <si>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</si>
  <si>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</si>
  <si>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</si>
  <si>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</si>
  <si>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</si>
  <si>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</si>
  <si>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</si>
  <si>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</si>
  <si>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</si>
  <si>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</si>
  <si>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</si>
  <si>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</si>
  <si>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</si>
  <si>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</si>
  <si>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</si>
  <si>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</si>
  <si>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</si>
  <si>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</si>
  <si>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</si>
  <si>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</si>
  <si>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</si>
  <si>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</si>
  <si>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</si>
  <si>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</si>
  <si>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</si>
  <si>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</si>
  <si>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</si>
  <si>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</si>
  <si>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</si>
  <si>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</si>
  <si>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</si>
  <si>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</si>
  <si>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</si>
  <si>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</si>
  <si>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</si>
  <si>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</si>
  <si>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</si>
  <si>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</si>
  <si>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</si>
  <si>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</si>
  <si>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</si>
  <si>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</si>
  <si>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</si>
  <si>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</si>
  <si>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</si>
  <si>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</si>
  <si>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</si>
  <si>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</si>
  <si>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</si>
  <si>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</si>
  <si>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</si>
  <si>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</si>
  <si>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</si>
  <si>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</si>
  <si>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</si>
  <si>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</si>
  <si>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</si>
  <si>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</si>
  <si>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</si>
  <si>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</si>
  <si>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</si>
  <si>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</si>
  <si>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</si>
  <si>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</si>
  <si>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</si>
  <si>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</si>
  <si>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</si>
  <si>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</si>
  <si>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</si>
  <si>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</si>
  <si>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</si>
  <si>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</si>
  <si>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</si>
  <si>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</si>
  <si>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</si>
  <si>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</si>
  <si>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</si>
  <si>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</si>
  <si>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</si>
  <si>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</si>
  <si>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</si>
  <si>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</si>
  <si>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</si>
  <si>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</si>
  <si>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</si>
  <si>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</si>
  <si>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</si>
  <si>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</si>
  <si>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</si>
  <si>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</si>
  <si>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</si>
  <si>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</si>
  <si>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</si>
  <si>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</si>
  <si>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</si>
  <si>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</si>
  <si>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</si>
  <si>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</si>
  <si>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</si>
  <si>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</si>
  <si>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</si>
  <si>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</si>
  <si>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</si>
  <si>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</si>
  <si>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</si>
  <si>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</si>
  <si>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</si>
  <si>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</si>
  <si>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</si>
  <si>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</si>
  <si>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</si>
  <si>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</si>
  <si>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</si>
  <si>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</si>
  <si>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</si>
  <si>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</si>
  <si>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</si>
  <si>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</si>
  <si>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</si>
  <si>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</si>
  <si>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</si>
  <si>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</si>
  <si>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</si>
  <si>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</si>
  <si>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</si>
  <si>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</si>
  <si>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</si>
  <si>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</si>
  <si>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</si>
  <si>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</si>
  <si>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</si>
  <si>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</si>
  <si>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</si>
  <si>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</si>
  <si>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</si>
  <si>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</si>
  <si>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</si>
  <si>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</si>
  <si>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</si>
  <si>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</si>
  <si>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</si>
  <si>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</si>
  <si>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</si>
  <si>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</si>
  <si>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</si>
  <si>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</si>
  <si>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</si>
  <si>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</si>
  <si>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</si>
  <si>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</si>
  <si>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</si>
  <si>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</si>
  <si>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</si>
  <si>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</si>
  <si>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</si>
  <si>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</si>
  <si>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</si>
  <si>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</si>
  <si>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</si>
  <si>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</si>
  <si>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</si>
  <si>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</si>
  <si>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</si>
  <si>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</si>
  <si>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</si>
  <si>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</si>
  <si>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</si>
  <si>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</si>
  <si>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</si>
  <si>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</si>
  <si>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</si>
  <si>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</si>
  <si>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</si>
  <si>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</si>
  <si>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</si>
  <si>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</si>
  <si>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</si>
  <si>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</si>
  <si>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</si>
  <si>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</si>
  <si>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</si>
  <si>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</si>
  <si>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</si>
  <si>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</si>
  <si>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</si>
  <si>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</si>
  <si>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</si>
  <si>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</si>
  <si>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</si>
  <si>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</si>
  <si>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</si>
  <si>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</si>
  <si>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</si>
  <si>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</si>
  <si>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</si>
  <si>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</si>
  <si>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</si>
  <si>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</si>
  <si>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</si>
  <si>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</si>
  <si>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</si>
  <si>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</si>
  <si>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</si>
  <si>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</si>
  <si>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</si>
  <si>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</si>
  <si>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</si>
  <si>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</si>
  <si>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</si>
  <si>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</si>
  <si>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</si>
  <si>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</si>
  <si>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</si>
  <si>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</si>
  <si>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</si>
  <si>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</si>
  <si>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</si>
  <si>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</si>
  <si>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</si>
  <si>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</si>
  <si>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</si>
  <si>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</si>
  <si>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</si>
  <si>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</si>
  <si>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</si>
  <si>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</si>
  <si>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</si>
  <si>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</si>
  <si>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</si>
  <si>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</si>
  <si>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</si>
  <si>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NORTHUMBERLAND SCHOOL DISTRICT</t>
  </si>
  <si>
    <t>09/10</t>
  </si>
  <si>
    <t>06/01</t>
  </si>
  <si>
    <t>06/15</t>
  </si>
  <si>
    <t>09/20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</si>
</sst>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407</v>
      </c>
      <c r="C2" s="21">
        <v>407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-44506.43+1073.66-24016.14</f>
        <v>-67448.91</v>
      </c>
      <c r="G9" s="18"/>
      <c r="H9" s="18"/>
      <c r="I9" s="18"/>
      <c r="J9" s="67">
        <f>SUM(I438)</f>
        <v>191067.91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14027.94</v>
      </c>
      <c r="G12" s="18">
        <v>0</v>
      </c>
      <c r="H12" s="18">
        <v>10233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25518.23+186301.84</f>
        <v>211820.07</v>
      </c>
      <c r="G14" s="18">
        <v>25518.23</v>
      </c>
      <c r="H14" s="18">
        <v>186301.84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>
        <f>24479.28-24016.14</f>
        <v>463.13999999999942</v>
      </c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158399.1</v>
      </c>
      <c r="G19" s="41">
        <f>SUM(G9:G18)</f>
        <v>25981.37</v>
      </c>
      <c r="H19" s="41">
        <f>SUM(H9:H18)</f>
        <v>196534.84</v>
      </c>
      <c r="I19" s="41">
        <f>SUM(I9:I18)</f>
        <v>0</v>
      </c>
      <c r="J19" s="41">
        <f>SUM(J9:J18)</f>
        <v>191067.91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10233</v>
      </c>
      <c r="G22" s="18">
        <v>25518.23</v>
      </c>
      <c r="H22" s="18">
        <v>186301.84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13515.96</v>
      </c>
      <c r="G28" s="18">
        <v>0</v>
      </c>
      <c r="H28" s="18">
        <v>10233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2559.15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24479.28-24016.14</f>
        <v>463.13999999999942</v>
      </c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26771.25</v>
      </c>
      <c r="G32" s="41">
        <f>SUM(G22:G31)</f>
        <v>25518.23</v>
      </c>
      <c r="H32" s="41">
        <f>SUM(H22:H31)</f>
        <v>196534.84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f>24479.28-24016.143</f>
        <v>463.13699999999881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191067.91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56627.85</f>
        <v>56627.85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131627.85</v>
      </c>
      <c r="G50" s="41">
        <f>SUM(G35:G49)</f>
        <v>463.13699999999881</v>
      </c>
      <c r="H50" s="41">
        <f>SUM(H35:H49)</f>
        <v>0</v>
      </c>
      <c r="I50" s="41">
        <f>SUM(I35:I49)</f>
        <v>0</v>
      </c>
      <c r="J50" s="41">
        <f>SUM(J35:J49)</f>
        <v>191067.91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158399.1</v>
      </c>
      <c r="G51" s="41">
        <f>G50+G32</f>
        <v>25981.366999999998</v>
      </c>
      <c r="H51" s="41">
        <f>H50+H32</f>
        <v>196534.84</v>
      </c>
      <c r="I51" s="41">
        <f>I50+I32</f>
        <v>0</v>
      </c>
      <c r="J51" s="41">
        <f>J50+J32</f>
        <v>191067.91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1416354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1416354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613368.37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225119.52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11177.16</v>
      </c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849665.05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1739.33</v>
      </c>
      <c r="G95" s="18"/>
      <c r="H95" s="18"/>
      <c r="I95" s="18"/>
      <c r="J95" s="18">
        <v>173.49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76528.649999999994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10000.08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11739.41</v>
      </c>
      <c r="G110" s="41">
        <f>SUM(G95:G109)</f>
        <v>76528.649999999994</v>
      </c>
      <c r="H110" s="41">
        <f>SUM(H95:H109)</f>
        <v>0</v>
      </c>
      <c r="I110" s="41">
        <f>SUM(I95:I109)</f>
        <v>0</v>
      </c>
      <c r="J110" s="41">
        <f>SUM(J95:J109)</f>
        <v>173.49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2277758.46</v>
      </c>
      <c r="G111" s="41">
        <f>G59+G110</f>
        <v>76528.649999999994</v>
      </c>
      <c r="H111" s="41">
        <f>H59+H78+H93+H110</f>
        <v>0</v>
      </c>
      <c r="I111" s="41">
        <f>I59+I110</f>
        <v>0</v>
      </c>
      <c r="J111" s="41">
        <f>J59+J110</f>
        <v>173.49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2666064-2307.97</f>
        <v>2663756.0299999998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246575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f>63053.55-63053.55+2307.97</f>
        <v>2307.9699999999998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5107.7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2917746.7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29506.44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20850.830000000002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31646.11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2144.2600000000002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82003.38</v>
      </c>
      <c r="G135" s="41">
        <f>SUM(G122:G134)</f>
        <v>2144.2600000000002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2999750.08</v>
      </c>
      <c r="G139" s="41">
        <f>G120+SUM(G135:G136)</f>
        <v>2144.2600000000002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63053.55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63053.55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4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254812.12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267609.45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132502.79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109078.72</v>
      </c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22651.7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131730.42000000001</v>
      </c>
      <c r="G161" s="41">
        <f>SUM(G149:G160)</f>
        <v>132502.79</v>
      </c>
      <c r="H161" s="41">
        <f>SUM(H149:H160)</f>
        <v>522421.57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656.98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195440.95000000004</v>
      </c>
      <c r="G168" s="41">
        <f>G146+G161+SUM(G162:G167)</f>
        <v>132502.79</v>
      </c>
      <c r="H168" s="41">
        <f>H146+H161+SUM(H162:H167)</f>
        <v>522421.57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4177</v>
      </c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4177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4177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5477126.4900000002</v>
      </c>
      <c r="G192" s="47">
        <f>G111+G139+G168+G191</f>
        <v>211175.7</v>
      </c>
      <c r="H192" s="47">
        <f>H111+H139+H168+H191</f>
        <v>522421.57</v>
      </c>
      <c r="I192" s="47">
        <f>I111+I139+I168+I191</f>
        <v>0</v>
      </c>
      <c r="J192" s="47">
        <f>J111+J139+J191</f>
        <v>173.49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542913.88+309702.34+2610+5587.5+712+15292.55+14242.68+25979.97+5820.72+14331.45+6598.51</f>
        <v>943791.6</v>
      </c>
      <c r="G196" s="18">
        <f>117538.86+85975.85+2785.26+1633.99+44542.1+24294.3+2.14+61633.34+34319.3+480.6+7226.59+1680+645+1367.83+848.91+1789.42+1072.59</f>
        <v>387836.08000000007</v>
      </c>
      <c r="H196" s="18">
        <f>-156.24+275.18+1700+5185.49+1500+5035.7+4645.41+199.46+160.67+681.18+86.92</f>
        <v>19313.769999999997</v>
      </c>
      <c r="I196" s="18">
        <f>4072.25+5189.38+608.93+330.34+497.77+1761.76+958.57+584.83+1299.36+103.43+501.29+150+330.2+1000.03+2300+1739.69+1179.26+222.47+28.71+257.4+205.94+193.61+100.02+851.41+799.75+780.83+1511.47+550.91+223.73+550+109.73+599.6+312.25+2329.37+3235.91+2990+139.16+409+136.2+59.63+100</f>
        <v>39304.189999999995</v>
      </c>
      <c r="J196" s="18">
        <f>60.41+2324.44+5000+400+729.63+4600+5903.43+1000.2</f>
        <v>20018.11</v>
      </c>
      <c r="K196" s="18">
        <f>90+125+105</f>
        <v>320</v>
      </c>
      <c r="L196" s="19">
        <f>SUM(F196:K196)</f>
        <v>1410583.7500000002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69589.38+34124.3+30519.36+31812.51+4215.99+1336.01+806.85+1039.35+10768.24+3677.45</f>
        <v>187889.44000000003</v>
      </c>
      <c r="G197" s="18">
        <f>16970.73+12577.41+491.18+196.56+7562.26+5031.86+8363.51+4030.7+400+400+1000+192+450+201.9+256.1+823.73+281.34+167+123+39.03+12.29</f>
        <v>59570.6</v>
      </c>
      <c r="H197" s="18">
        <f>50863.69+46538.8+37235.64+8376.18+45635.99+6008.9</f>
        <v>194659.19999999998</v>
      </c>
      <c r="I197" s="18">
        <f>177.55+115.84+481.45</f>
        <v>774.83999999999992</v>
      </c>
      <c r="J197" s="18"/>
      <c r="K197" s="18"/>
      <c r="L197" s="19">
        <f>SUM(F197:K197)</f>
        <v>442894.08000000002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430.35+7166.88+10239.32+16737.57</f>
        <v>34574.119999999995</v>
      </c>
      <c r="G199" s="18">
        <f>625.07+706.48+83.41+283.78+227.89+97.18+303.96+123.18+145+152+51+59+1134.45+6.77</f>
        <v>3999.1699999999996</v>
      </c>
      <c r="H199" s="18">
        <f>3300+2282</f>
        <v>5582</v>
      </c>
      <c r="I199" s="18">
        <f>649.2+2547.23</f>
        <v>3196.4300000000003</v>
      </c>
      <c r="J199" s="18"/>
      <c r="K199" s="18">
        <v>790</v>
      </c>
      <c r="L199" s="19">
        <f>SUM(F199:K199)</f>
        <v>48141.719999999994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53206.13+17290.62+9882.84+1800.03+35579.2+23084.27+22652.97+15101.99</f>
        <v>178598.05</v>
      </c>
      <c r="G201" s="18">
        <f>6444.93+3144.04+290.97+173.34+3919.37+2161.12+853.4+6012.41+1953.69+185.04+173+151.77+74.73+8301.79+128.58+2721.94+1637.07+2606.72+136.74+192+136.1+113.85+64.72+2469.37+1645.94+69.13+57.32+1668.85+1112.46+2560.07+1706.19+136.07+125.33-51.85-34.57</f>
        <v>53041.630000000012</v>
      </c>
      <c r="H201" s="18">
        <f>834+449.38+93+480+110</f>
        <v>1966.38</v>
      </c>
      <c r="I201" s="18">
        <f>319.03+249+887.06+497+369.22+297.42</f>
        <v>2618.73</v>
      </c>
      <c r="J201" s="18">
        <f>158.96+73.64</f>
        <v>232.60000000000002</v>
      </c>
      <c r="K201" s="18">
        <f>110.64+29+100</f>
        <v>239.64</v>
      </c>
      <c r="L201" s="19">
        <f t="shared" ref="L201:L207" si="0">SUM(F201:K201)</f>
        <v>236697.03000000003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15760+12308.4+13909.3+22642.12+18226.44</f>
        <v>82846.259999999995</v>
      </c>
      <c r="G202" s="18">
        <f>6790.49+5466.44+87.94+70.72+2201.55+885.86+1727.55+1431.93+223+124+97.51+34.23+5585.53+4498.89+118.47+95.43+1603.39+1290.67+2120.92+1708.07+1984.68+523.35+164.23+147.35+85.68+56.39</f>
        <v>39124.269999999997</v>
      </c>
      <c r="H202" s="18">
        <f>4941.92+1137.5+1057.47+1038.83+834.69</f>
        <v>9010.41</v>
      </c>
      <c r="I202" s="18">
        <f>435.89+199.73+1825.37+1500.67+141.94</f>
        <v>4103.5999999999995</v>
      </c>
      <c r="J202" s="18"/>
      <c r="K202" s="18"/>
      <c r="L202" s="19">
        <f t="shared" si="0"/>
        <v>135084.54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3023</v>
      </c>
      <c r="G203" s="18">
        <v>231</v>
      </c>
      <c r="H203" s="18">
        <f>22509+165420</f>
        <v>187929</v>
      </c>
      <c r="I203" s="18"/>
      <c r="J203" s="18"/>
      <c r="K203" s="18">
        <v>3164</v>
      </c>
      <c r="L203" s="19">
        <f t="shared" si="0"/>
        <v>194347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69911.73+37591.62+247.5+23128.57+32621.81+15769.39+6000+1440.1+1005.57+50.61+15615.06+12578.6+9570.09+7608.41+1349.96+1087.55</f>
        <v>235576.56999999998</v>
      </c>
      <c r="G204" s="18">
        <f>18856.43+14766.42+553.76+464.18+8127.85+5759.09+2910.02+1426.03+7974.11+6964.76+321+211+51.22+358.54+6721.87+5287.26+136.56+108.53+1896.01+1520.8+843.86+670.76+1729.48+1391.47+371+197+180+145+152.13+137.79+62.33+37.39</f>
        <v>90333.649999999965</v>
      </c>
      <c r="H204" s="18">
        <f>89+19.51+759.9+450+30.28+458.86+1369.51+51.06+305.68+197.49+1000+493.46+611.3+301.24</f>
        <v>6137.2899999999991</v>
      </c>
      <c r="I204" s="18">
        <f>-37.4+192.39+35.9+366.89+300</f>
        <v>857.78</v>
      </c>
      <c r="J204" s="18">
        <f>0</f>
        <v>0</v>
      </c>
      <c r="K204" s="18">
        <f>3800.38+1871.1+661.46+342.2</f>
        <v>6675.1399999999994</v>
      </c>
      <c r="L204" s="19">
        <f t="shared" si="0"/>
        <v>339580.43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63710.65+32968.35+6000+8194.19+2526.71+2352.48+884.19+632.95+1424.67</f>
        <v>118694.19</v>
      </c>
      <c r="G206" s="18">
        <f>11370.04+15923.05+364.13+187.79+5994.38+2672.51+5784.68+3077.79+500+281+182+1075.62+665.86</f>
        <v>48078.850000000006</v>
      </c>
      <c r="H206" s="18">
        <f>108+87+452+2105+1601.34+2988.6+2322.9+4441.4+19177.53+13010.99+6163.92+4965.38+2042.48+2289+57.4+25.84</f>
        <v>61838.779999999992</v>
      </c>
      <c r="I206" s="18">
        <f>11204.91+9661.95+15900.04+17100.09+1559.16+622.04+25908.81+22568.05</f>
        <v>104525.05000000002</v>
      </c>
      <c r="J206" s="18">
        <f>516+227.04</f>
        <v>743.04</v>
      </c>
      <c r="K206" s="18"/>
      <c r="L206" s="19">
        <f t="shared" si="0"/>
        <v>333879.90999999997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6930.4+4500.44+5818.62+4828.64+55098.87+5613.86+3324.88</f>
        <v>86115.71</v>
      </c>
      <c r="I207" s="18"/>
      <c r="J207" s="18"/>
      <c r="K207" s="18"/>
      <c r="L207" s="19">
        <f t="shared" si="0"/>
        <v>86115.71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1784993.2300000002</v>
      </c>
      <c r="G210" s="41">
        <f t="shared" si="1"/>
        <v>682215.24999999988</v>
      </c>
      <c r="H210" s="41">
        <f t="shared" si="1"/>
        <v>572552.53999999992</v>
      </c>
      <c r="I210" s="41">
        <f t="shared" si="1"/>
        <v>155380.62</v>
      </c>
      <c r="J210" s="41">
        <f t="shared" si="1"/>
        <v>20993.75</v>
      </c>
      <c r="K210" s="41">
        <f t="shared" si="1"/>
        <v>11188.779999999999</v>
      </c>
      <c r="L210" s="41">
        <f t="shared" si="1"/>
        <v>3227324.1700000004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521716.71+1400.5+1272.45+27415.42+11774.83</f>
        <v>563579.91</v>
      </c>
      <c r="G232" s="18">
        <f>109153.04+2691.83+41237.56+57031.37+1844.81+675+1267.03+1686.78+250</f>
        <v>215837.41999999998</v>
      </c>
      <c r="H232" s="18">
        <f>27970+2857.2+33+336.32+1161.65+5677.78+193.92+106.22+1500</f>
        <v>39836.090000000004</v>
      </c>
      <c r="I232" s="18">
        <f>482.04+5127.98+295.27+461.79+1949.87+79.69+4000+2008.99+2692.48+477.83+384.52+1479.09+799.03+856.66+92.3+90+164.94+134.11+3551.27+487.58+179.25+1146.83+6536.83+1500+251.71</f>
        <v>35230.060000000005</v>
      </c>
      <c r="J232" s="18">
        <f>2464.31+13950.88+449+71.14+2151.58+75+1245.44+972</f>
        <v>21379.349999999995</v>
      </c>
      <c r="K232" s="18">
        <f>170+75+271.55+135+105</f>
        <v>756.55</v>
      </c>
      <c r="L232" s="19">
        <f>SUM(F232:K232)</f>
        <v>876619.38000000012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58039.52+450+38127.95+973.75</f>
        <v>97591.22</v>
      </c>
      <c r="G233" s="18">
        <f>6288.3+270.32+7304.84+6586.06+321+225.37</f>
        <v>20995.89</v>
      </c>
      <c r="H233" s="18">
        <f>46085.67+271.74+6922.5+147769.22</f>
        <v>201049.13</v>
      </c>
      <c r="I233" s="18">
        <f>329.2</f>
        <v>329.2</v>
      </c>
      <c r="J233" s="18"/>
      <c r="K233" s="18"/>
      <c r="L233" s="19">
        <f>SUM(F233:K233)</f>
        <v>319965.44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52636.23</f>
        <v>52636.23</v>
      </c>
      <c r="I234" s="18"/>
      <c r="J234" s="18"/>
      <c r="K234" s="18"/>
      <c r="L234" s="19">
        <f>SUM(F234:K234)</f>
        <v>52636.23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187.15+30265.8</f>
        <v>30452.95</v>
      </c>
      <c r="G235" s="18">
        <f>8.48+2315.37+58.08+4+1403.4+449+250</f>
        <v>4488.33</v>
      </c>
      <c r="H235" s="18">
        <f>9967+782.67</f>
        <v>10749.67</v>
      </c>
      <c r="I235" s="18">
        <f>4183.19+570</f>
        <v>4753.1899999999996</v>
      </c>
      <c r="J235" s="18"/>
      <c r="K235" s="18">
        <v>2535</v>
      </c>
      <c r="L235" s="19">
        <f>SUM(F235:K235)</f>
        <v>52979.14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21132.98+12079+2699.97+28213.29+1987.2</f>
        <v>66112.44</v>
      </c>
      <c r="G237" s="18">
        <f>3843.06+215.22+2680.24+1079.29+2388.23+210+112.1+10169.96+157.33+2002.69+3189.85+167.12+154.07+97.69+216.6+77.62+146.46+224.55+104.6-4.55</f>
        <v>27232.12999999999</v>
      </c>
      <c r="H237" s="18">
        <f>449.38+93</f>
        <v>542.38</v>
      </c>
      <c r="I237" s="18">
        <f>100.13+1000+453.87+309.2+520.74</f>
        <v>2383.94</v>
      </c>
      <c r="J237" s="18">
        <f>32</f>
        <v>32</v>
      </c>
      <c r="K237" s="18">
        <f>121+35</f>
        <v>156</v>
      </c>
      <c r="L237" s="19">
        <f t="shared" ref="L237:L243" si="4">SUM(F237:K237)</f>
        <v>96458.89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14855.1+22026.34</f>
        <v>36881.440000000002</v>
      </c>
      <c r="G238" s="18">
        <f>6599.5+85.54+1069.22+1728.85+135+50.03+5428.77+115.18+1559.59+2061.18+631.63+169.39+84.04</f>
        <v>19717.920000000002</v>
      </c>
      <c r="H238" s="18">
        <f>2155.41+1270.6</f>
        <v>3426.0099999999998</v>
      </c>
      <c r="I238" s="18">
        <f>255.55+3383.62+452.95</f>
        <v>4092.12</v>
      </c>
      <c r="J238" s="18">
        <f>381</f>
        <v>381</v>
      </c>
      <c r="K238" s="18"/>
      <c r="L238" s="19">
        <f>SUM(F238:K238)</f>
        <v>64498.490000000005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1627</v>
      </c>
      <c r="G239" s="18">
        <v>124.05</v>
      </c>
      <c r="H239" s="18">
        <f>12119.83+89071.68</f>
        <v>101191.51</v>
      </c>
      <c r="I239" s="18"/>
      <c r="J239" s="18"/>
      <c r="K239" s="18">
        <v>1703.75</v>
      </c>
      <c r="L239" s="19">
        <f t="shared" si="4"/>
        <v>104646.31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f>45945.38+302.5+28268.43+19324.65+1760.13+371.77+15181.3+9182.71+1312.49</f>
        <v>121649.36</v>
      </c>
      <c r="G240" s="18">
        <f>18064.21+567.94+7068.84+1747.3+8515.17+281+332.92+6381.65+131.28+1835.81+809.63+1679.69+166+175+155.04+62.13</f>
        <v>47973.609999999993</v>
      </c>
      <c r="H240" s="18">
        <f>152+376.74+529.44+163.17+238.28+500+608.14</f>
        <v>2567.77</v>
      </c>
      <c r="I240" s="18">
        <f>439.23+406.54</f>
        <v>845.77</v>
      </c>
      <c r="J240" s="18">
        <f>0</f>
        <v>0</v>
      </c>
      <c r="K240" s="18">
        <f>2595.5+413</f>
        <v>3008.5</v>
      </c>
      <c r="L240" s="19">
        <f t="shared" si="4"/>
        <v>176045.00999999998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40421.56+3238.92+1636.9+1615.06</f>
        <v>46912.439999999995</v>
      </c>
      <c r="G242" s="18">
        <f>19491.06+228.63+3320.86+3765.34+223+768.3</f>
        <v>27797.190000000002</v>
      </c>
      <c r="H242" s="18">
        <f>105+1957.16+2803.5+19393.15+5992.7+2798.2+31.58</f>
        <v>33081.29</v>
      </c>
      <c r="I242" s="18">
        <f>12593.65+20900.12+760.28+27583.18</f>
        <v>61837.229999999996</v>
      </c>
      <c r="J242" s="18">
        <v>277.48</v>
      </c>
      <c r="K242" s="18"/>
      <c r="L242" s="19">
        <f t="shared" si="4"/>
        <v>169905.63000000003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3472.34+12150.79+43729.28+32359.65+5267.96</f>
        <v>96980.02</v>
      </c>
      <c r="I243" s="18"/>
      <c r="J243" s="18"/>
      <c r="K243" s="18"/>
      <c r="L243" s="19">
        <f t="shared" si="4"/>
        <v>96980.02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964806.75999999989</v>
      </c>
      <c r="G246" s="41">
        <f t="shared" si="5"/>
        <v>364166.53999999992</v>
      </c>
      <c r="H246" s="41">
        <f t="shared" si="5"/>
        <v>542060.1</v>
      </c>
      <c r="I246" s="41">
        <f t="shared" si="5"/>
        <v>109471.51000000001</v>
      </c>
      <c r="J246" s="41">
        <f t="shared" si="5"/>
        <v>22069.829999999994</v>
      </c>
      <c r="K246" s="41">
        <f t="shared" si="5"/>
        <v>8159.8</v>
      </c>
      <c r="L246" s="41">
        <f t="shared" si="5"/>
        <v>2010734.54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49975</v>
      </c>
      <c r="I254" s="18"/>
      <c r="J254" s="18"/>
      <c r="K254" s="18"/>
      <c r="L254" s="19">
        <f t="shared" si="6"/>
        <v>49975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49975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49975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2749799.99</v>
      </c>
      <c r="G256" s="41">
        <f t="shared" si="8"/>
        <v>1046381.7899999998</v>
      </c>
      <c r="H256" s="41">
        <f t="shared" si="8"/>
        <v>1164587.6399999999</v>
      </c>
      <c r="I256" s="41">
        <f t="shared" si="8"/>
        <v>264852.13</v>
      </c>
      <c r="J256" s="41">
        <f t="shared" si="8"/>
        <v>43063.579999999994</v>
      </c>
      <c r="K256" s="41">
        <f t="shared" si="8"/>
        <v>19348.579999999998</v>
      </c>
      <c r="L256" s="41">
        <f t="shared" si="8"/>
        <v>5288033.7100000009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48571.43</v>
      </c>
      <c r="L259" s="19">
        <f>SUM(F259:K259)</f>
        <v>48571.43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8893.5</v>
      </c>
      <c r="L260" s="19">
        <f>SUM(F260:K260)</f>
        <v>8893.5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57464.93</v>
      </c>
      <c r="L269" s="41">
        <f t="shared" si="9"/>
        <v>57464.93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2749799.99</v>
      </c>
      <c r="G270" s="42">
        <f t="shared" si="11"/>
        <v>1046381.7899999998</v>
      </c>
      <c r="H270" s="42">
        <f t="shared" si="11"/>
        <v>1164587.6399999999</v>
      </c>
      <c r="I270" s="42">
        <f t="shared" si="11"/>
        <v>264852.13</v>
      </c>
      <c r="J270" s="42">
        <f t="shared" si="11"/>
        <v>43063.579999999994</v>
      </c>
      <c r="K270" s="42">
        <f t="shared" si="11"/>
        <v>76813.509999999995</v>
      </c>
      <c r="L270" s="42">
        <f t="shared" si="11"/>
        <v>5345498.6400000006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18051.63+2125+150783.39+2300+32625+1375</f>
        <v>207260.02000000002</v>
      </c>
      <c r="G275" s="18">
        <f>1397.28+55+1345.07+1436.32+155.1+209.67+18863.93+408.98+11187.88+10825.95+945+175.95+105.19+67.8+2441.73+3331.37+0.3-1224.19</f>
        <v>51728.330000000016</v>
      </c>
      <c r="H275" s="18">
        <f>250+1140+15095.3+126.25+1012.5</f>
        <v>17624.05</v>
      </c>
      <c r="I275" s="18">
        <f>177.4+7430.88+163.86+299.4+13275+203.53+2400</f>
        <v>23950.07</v>
      </c>
      <c r="J275" s="18">
        <f>27477.89+12944.48+17424.27</f>
        <v>57846.64</v>
      </c>
      <c r="K275" s="18">
        <f>149.6+734.82</f>
        <v>884.42000000000007</v>
      </c>
      <c r="L275" s="19">
        <f>SUM(F275:K275)</f>
        <v>359293.53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12761.96+8303.47</f>
        <v>21065.43</v>
      </c>
      <c r="G276" s="18">
        <f>10107.07+2332.55+121.49+75.7+942.68+628.9+1325.39+768.5</f>
        <v>16302.279999999999</v>
      </c>
      <c r="H276" s="18">
        <f>107.55</f>
        <v>107.55</v>
      </c>
      <c r="I276" s="18"/>
      <c r="J276" s="18">
        <f>7921.07</f>
        <v>7921.07</v>
      </c>
      <c r="K276" s="18"/>
      <c r="L276" s="19">
        <f>SUM(F276:K276)</f>
        <v>45396.33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>
        <v>3175</v>
      </c>
      <c r="J287" s="18"/>
      <c r="K287" s="18"/>
      <c r="L287" s="19">
        <f>SUM(F287:K287)</f>
        <v>3175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228325.45</v>
      </c>
      <c r="G289" s="42">
        <f t="shared" si="13"/>
        <v>68030.610000000015</v>
      </c>
      <c r="H289" s="42">
        <f t="shared" si="13"/>
        <v>17731.599999999999</v>
      </c>
      <c r="I289" s="42">
        <f t="shared" si="13"/>
        <v>27125.07</v>
      </c>
      <c r="J289" s="42">
        <f t="shared" si="13"/>
        <v>65767.709999999992</v>
      </c>
      <c r="K289" s="42">
        <f t="shared" si="13"/>
        <v>884.42000000000007</v>
      </c>
      <c r="L289" s="41">
        <f t="shared" si="13"/>
        <v>407864.86000000004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5170.37+11260.42+1324.16+13082.43+1260+2620</f>
        <v>34717.380000000005</v>
      </c>
      <c r="G313" s="18">
        <f>369.75+583.18+159.07+9059+362+1293.78-387.8+488.87+191.26+1000.89+736.2+96.4+71.2+200.43</f>
        <v>14224.230000000003</v>
      </c>
      <c r="H313" s="18">
        <f>4343+975.98+1000+375+25+767.55+11698.67+372.5+420+826.85</f>
        <v>20804.55</v>
      </c>
      <c r="I313" s="18">
        <f>143.9+2916.39+78.68+360</f>
        <v>3498.97</v>
      </c>
      <c r="J313" s="18">
        <f>14355.25+6753+3072+3713</f>
        <v>27893.25</v>
      </c>
      <c r="K313" s="18"/>
      <c r="L313" s="19">
        <f>SUM(F313:K313)</f>
        <v>101138.38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10291.1</f>
        <v>10291.1</v>
      </c>
      <c r="G314" s="18">
        <f>1548.63+-10.66+796.32+792.94</f>
        <v>3127.23</v>
      </c>
      <c r="H314" s="18"/>
      <c r="I314" s="18"/>
      <c r="J314" s="18"/>
      <c r="K314" s="18"/>
      <c r="L314" s="19">
        <f>SUM(F314:K314)</f>
        <v>13418.33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45008.480000000003</v>
      </c>
      <c r="G327" s="42">
        <f t="shared" si="17"/>
        <v>17351.460000000003</v>
      </c>
      <c r="H327" s="42">
        <f t="shared" si="17"/>
        <v>20804.55</v>
      </c>
      <c r="I327" s="42">
        <f t="shared" si="17"/>
        <v>3498.97</v>
      </c>
      <c r="J327" s="42">
        <f t="shared" si="17"/>
        <v>27893.25</v>
      </c>
      <c r="K327" s="42">
        <f t="shared" si="17"/>
        <v>0</v>
      </c>
      <c r="L327" s="41">
        <f t="shared" si="17"/>
        <v>114556.71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273333.93</v>
      </c>
      <c r="G337" s="41">
        <f t="shared" si="20"/>
        <v>85382.070000000022</v>
      </c>
      <c r="H337" s="41">
        <f t="shared" si="20"/>
        <v>38536.149999999994</v>
      </c>
      <c r="I337" s="41">
        <f t="shared" si="20"/>
        <v>30624.04</v>
      </c>
      <c r="J337" s="41">
        <f t="shared" si="20"/>
        <v>93660.959999999992</v>
      </c>
      <c r="K337" s="41">
        <f t="shared" si="20"/>
        <v>884.42000000000007</v>
      </c>
      <c r="L337" s="41">
        <f t="shared" si="20"/>
        <v>522421.57000000007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273333.93</v>
      </c>
      <c r="G351" s="41">
        <f>G337</f>
        <v>85382.070000000022</v>
      </c>
      <c r="H351" s="41">
        <f>H337</f>
        <v>38536.149999999994</v>
      </c>
      <c r="I351" s="41">
        <f>I337</f>
        <v>30624.04</v>
      </c>
      <c r="J351" s="41">
        <f>J337</f>
        <v>93660.959999999992</v>
      </c>
      <c r="K351" s="47">
        <f>K337+K350</f>
        <v>884.42000000000007</v>
      </c>
      <c r="L351" s="41">
        <f>L337+L350</f>
        <v>522421.57000000007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390</v>
      </c>
      <c r="G357" s="18">
        <v>30</v>
      </c>
      <c r="H357" s="18">
        <f>120933+15610.49</f>
        <v>136543.49</v>
      </c>
      <c r="I357" s="18"/>
      <c r="J357" s="18"/>
      <c r="K357" s="18"/>
      <c r="L357" s="13">
        <f>SUM(F357:K357)</f>
        <v>136963.49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210</v>
      </c>
      <c r="G359" s="18">
        <v>15.9</v>
      </c>
      <c r="H359" s="18">
        <f>65117.52+8405.65</f>
        <v>73523.17</v>
      </c>
      <c r="I359" s="18"/>
      <c r="J359" s="18"/>
      <c r="K359" s="18"/>
      <c r="L359" s="19">
        <f>SUM(F359:K359)</f>
        <v>73749.069999999992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600</v>
      </c>
      <c r="G361" s="47">
        <f t="shared" si="22"/>
        <v>45.9</v>
      </c>
      <c r="H361" s="47">
        <f t="shared" si="22"/>
        <v>210066.65999999997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210712.56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/>
      <c r="H366" s="18">
        <v>0</v>
      </c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0</v>
      </c>
      <c r="G367" s="63"/>
      <c r="H367" s="63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138.1</v>
      </c>
      <c r="I395" s="18"/>
      <c r="J395" s="24" t="s">
        <v>289</v>
      </c>
      <c r="K395" s="24" t="s">
        <v>289</v>
      </c>
      <c r="L395" s="56">
        <f t="shared" si="26"/>
        <v>138.1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35.39</v>
      </c>
      <c r="I396" s="18"/>
      <c r="J396" s="24" t="s">
        <v>289</v>
      </c>
      <c r="K396" s="24" t="s">
        <v>289</v>
      </c>
      <c r="L396" s="56">
        <f t="shared" si="26"/>
        <v>35.39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173.49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173.49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173.49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173.49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191067.91</v>
      </c>
      <c r="H438" s="18"/>
      <c r="I438" s="56">
        <f t="shared" ref="I438:I444" si="33">SUM(F438:H438)</f>
        <v>191067.91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191067.91</v>
      </c>
      <c r="H445" s="13">
        <f>SUM(H438:H444)</f>
        <v>0</v>
      </c>
      <c r="I445" s="13">
        <f>SUM(I438:I444)</f>
        <v>191067.91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>
        <v>191067.91</v>
      </c>
      <c r="H455" s="18"/>
      <c r="I455" s="56">
        <f t="shared" si="34"/>
        <v>191067.91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191067.91</v>
      </c>
      <c r="H459" s="83">
        <f>SUM(H453:H458)</f>
        <v>0</v>
      </c>
      <c r="I459" s="83">
        <f>SUM(I453:I458)</f>
        <v>191067.91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191067.91</v>
      </c>
      <c r="H460" s="42">
        <f>H451+H459</f>
        <v>0</v>
      </c>
      <c r="I460" s="42">
        <f>I451+I459</f>
        <v>191067.91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0</v>
      </c>
      <c r="G464" s="18"/>
      <c r="H464" s="18"/>
      <c r="I464" s="18"/>
      <c r="J464" s="18">
        <v>190894.42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5684125.19-211175.7+4177</f>
        <v>5477126.4900000002</v>
      </c>
      <c r="G467" s="18">
        <f>211175.7</f>
        <v>211175.7</v>
      </c>
      <c r="H467" s="18">
        <v>522421.57</v>
      </c>
      <c r="I467" s="18"/>
      <c r="J467" s="18">
        <v>173.49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5477126.4900000002</v>
      </c>
      <c r="G469" s="53">
        <f>SUM(G467:G468)</f>
        <v>211175.7</v>
      </c>
      <c r="H469" s="53">
        <f>SUM(H467:H468)</f>
        <v>522421.57</v>
      </c>
      <c r="I469" s="53">
        <f>SUM(I467:I468)</f>
        <v>0</v>
      </c>
      <c r="J469" s="53">
        <f>SUM(J467:J468)</f>
        <v>173.49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5345498.6399999997</v>
      </c>
      <c r="G471" s="18">
        <f>186696.42+24016.14</f>
        <v>210712.56</v>
      </c>
      <c r="H471" s="18">
        <v>522421.57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5345498.6399999997</v>
      </c>
      <c r="G473" s="53">
        <f>SUM(G471:G472)</f>
        <v>210712.56</v>
      </c>
      <c r="H473" s="53">
        <f>SUM(H471:H472)</f>
        <v>522421.57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131627.85000000056</v>
      </c>
      <c r="G475" s="53">
        <f>(G464+G469)- G473</f>
        <v>463.14000000001397</v>
      </c>
      <c r="H475" s="53">
        <f>(H464+H469)- H473</f>
        <v>0</v>
      </c>
      <c r="I475" s="53">
        <f>(I464+I469)- I473</f>
        <v>0</v>
      </c>
      <c r="J475" s="53">
        <f>(J464+J469)- J473</f>
        <v>191067.91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14</v>
      </c>
      <c r="G489" s="154">
        <v>10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 t="s">
        <v>910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 t="s">
        <v>913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400000</v>
      </c>
      <c r="G492" s="18">
        <v>225501.31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0</v>
      </c>
      <c r="G493" s="18">
        <v>5.39</v>
      </c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114285.7</v>
      </c>
      <c r="G494" s="18">
        <v>175000</v>
      </c>
      <c r="H494" s="18"/>
      <c r="I494" s="18"/>
      <c r="J494" s="18"/>
      <c r="K494" s="53">
        <f>SUM(F494:J494)</f>
        <v>289285.7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28571.43</v>
      </c>
      <c r="G496" s="18">
        <v>28893.5</v>
      </c>
      <c r="H496" s="18"/>
      <c r="I496" s="18"/>
      <c r="J496" s="18"/>
      <c r="K496" s="53">
        <f t="shared" si="35"/>
        <v>57464.93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85714.27</v>
      </c>
      <c r="G497" s="205">
        <v>155000</v>
      </c>
      <c r="H497" s="205"/>
      <c r="I497" s="205"/>
      <c r="J497" s="205"/>
      <c r="K497" s="206">
        <f t="shared" si="35"/>
        <v>240714.27000000002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0</v>
      </c>
      <c r="G498" s="18">
        <v>34900.25</v>
      </c>
      <c r="H498" s="18"/>
      <c r="I498" s="18"/>
      <c r="J498" s="18"/>
      <c r="K498" s="53">
        <f t="shared" si="35"/>
        <v>34900.25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85714.27</v>
      </c>
      <c r="G499" s="42">
        <f>SUM(G497:G498)</f>
        <v>189900.25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275614.52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28571.43</v>
      </c>
      <c r="G500" s="205">
        <v>20000</v>
      </c>
      <c r="H500" s="205"/>
      <c r="I500" s="205"/>
      <c r="J500" s="205"/>
      <c r="K500" s="206">
        <f t="shared" si="35"/>
        <v>48571.43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7815.5</v>
      </c>
      <c r="H501" s="18"/>
      <c r="I501" s="18"/>
      <c r="J501" s="18"/>
      <c r="K501" s="53">
        <f t="shared" si="35"/>
        <v>7815.5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28571.43</v>
      </c>
      <c r="G502" s="42">
        <f>SUM(G500:G501)</f>
        <v>27815.5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56386.93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21065.43+187889.44</f>
        <v>208954.87</v>
      </c>
      <c r="G520" s="18">
        <f>16302.28+59570.6</f>
        <v>75872.88</v>
      </c>
      <c r="H520" s="18">
        <f>107.55+179964.14-50863.69-46538.8+6318.88</f>
        <v>88988.08</v>
      </c>
      <c r="I520" s="18">
        <f>774.84</f>
        <v>774.84</v>
      </c>
      <c r="J520" s="18">
        <f>7921.07</f>
        <v>7921.07</v>
      </c>
      <c r="K520" s="18"/>
      <c r="L520" s="88">
        <f>SUM(F520:K520)</f>
        <v>382511.74000000005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10291.1+97591.22</f>
        <v>107882.32</v>
      </c>
      <c r="G522" s="18">
        <f>3127.23+20995.89</f>
        <v>24123.119999999999</v>
      </c>
      <c r="H522" s="18">
        <f>201049.13-46085.67+8376.18</f>
        <v>163339.64000000001</v>
      </c>
      <c r="I522" s="18">
        <f>329.2</f>
        <v>329.2</v>
      </c>
      <c r="J522" s="18"/>
      <c r="K522" s="18"/>
      <c r="L522" s="88">
        <f>SUM(F522:K522)</f>
        <v>295674.28000000003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316837.19</v>
      </c>
      <c r="G523" s="108">
        <f t="shared" ref="G523:L523" si="36">SUM(G520:G522)</f>
        <v>99996</v>
      </c>
      <c r="H523" s="108">
        <f t="shared" si="36"/>
        <v>252327.72000000003</v>
      </c>
      <c r="I523" s="108">
        <f t="shared" si="36"/>
        <v>1104.04</v>
      </c>
      <c r="J523" s="108">
        <f t="shared" si="36"/>
        <v>7921.07</v>
      </c>
      <c r="K523" s="108">
        <f t="shared" si="36"/>
        <v>0</v>
      </c>
      <c r="L523" s="89">
        <f t="shared" si="36"/>
        <v>678186.02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50863.69+46538.8</f>
        <v>97402.49</v>
      </c>
      <c r="I525" s="18"/>
      <c r="J525" s="18"/>
      <c r="K525" s="18"/>
      <c r="L525" s="88">
        <f>SUM(F525:K525)</f>
        <v>97402.49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46085.67</f>
        <v>46085.67</v>
      </c>
      <c r="I527" s="18"/>
      <c r="J527" s="18"/>
      <c r="K527" s="18"/>
      <c r="L527" s="88">
        <f>SUM(F527:K527)</f>
        <v>46085.67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143488.16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143488.16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15615.06+12578.6+9570.09+7608.41+1349.96+1087.55</f>
        <v>47809.670000000006</v>
      </c>
      <c r="G530" s="18">
        <f>6721.87+5287.26+136.56+108.53+1896.01+1520.8+843.86+670.76+1729.48+1391.47+371+197+180+145+152.13+137.79+62.33+37.39</f>
        <v>21589.24</v>
      </c>
      <c r="H530" s="18">
        <f>305.68+197.49+1000+493.46+611.3+301.24</f>
        <v>2909.17</v>
      </c>
      <c r="I530" s="18">
        <f>366.89+300</f>
        <v>666.89</v>
      </c>
      <c r="J530" s="18"/>
      <c r="K530" s="18">
        <f>661.46+342.2</f>
        <v>1003.6600000000001</v>
      </c>
      <c r="L530" s="88">
        <f>SUM(F530:K530)</f>
        <v>73978.63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 t="b">
        <f>15181.3=9182.71+1312.49</f>
        <v>0</v>
      </c>
      <c r="G532" s="18">
        <f>6381.65+131.28+1835.81+809.63+1679.69+166+175+155.04+62.13</f>
        <v>11396.23</v>
      </c>
      <c r="H532" s="18">
        <f>238.28+500+608.14</f>
        <v>1346.42</v>
      </c>
      <c r="I532" s="18">
        <v>406.54</v>
      </c>
      <c r="J532" s="18"/>
      <c r="K532" s="18">
        <v>413</v>
      </c>
      <c r="L532" s="88">
        <f>SUM(F532:K532)</f>
        <v>13562.19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47809.670000000006</v>
      </c>
      <c r="G533" s="89">
        <f t="shared" ref="G533:L533" si="38">SUM(G530:G532)</f>
        <v>32985.47</v>
      </c>
      <c r="H533" s="89">
        <f t="shared" si="38"/>
        <v>4255.59</v>
      </c>
      <c r="I533" s="89">
        <f t="shared" si="38"/>
        <v>1073.43</v>
      </c>
      <c r="J533" s="89">
        <f t="shared" si="38"/>
        <v>0</v>
      </c>
      <c r="K533" s="89">
        <f t="shared" si="38"/>
        <v>1416.66</v>
      </c>
      <c r="L533" s="89">
        <f t="shared" si="38"/>
        <v>87540.82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6930.4+4500.44</f>
        <v>11430.84</v>
      </c>
      <c r="I540" s="18"/>
      <c r="J540" s="18"/>
      <c r="K540" s="18"/>
      <c r="L540" s="88">
        <f>SUM(F540:K540)</f>
        <v>11430.84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f>3472.34</f>
        <v>3472.34</v>
      </c>
      <c r="I542" s="18"/>
      <c r="J542" s="18"/>
      <c r="K542" s="18"/>
      <c r="L542" s="88">
        <f>SUM(F542:K542)</f>
        <v>3472.34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14903.18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14903.18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364646.86</v>
      </c>
      <c r="G544" s="89">
        <f t="shared" ref="G544:L544" si="41">G523+G528+G533+G538+G543</f>
        <v>132981.47</v>
      </c>
      <c r="H544" s="89">
        <f t="shared" si="41"/>
        <v>414974.65</v>
      </c>
      <c r="I544" s="89">
        <f t="shared" si="41"/>
        <v>2177.4700000000003</v>
      </c>
      <c r="J544" s="89">
        <f t="shared" si="41"/>
        <v>7921.07</v>
      </c>
      <c r="K544" s="89">
        <f t="shared" si="41"/>
        <v>1416.66</v>
      </c>
      <c r="L544" s="89">
        <f t="shared" si="41"/>
        <v>924118.18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382511.74000000005</v>
      </c>
      <c r="G548" s="87">
        <f>L525</f>
        <v>97402.49</v>
      </c>
      <c r="H548" s="87">
        <f>L530</f>
        <v>73978.63</v>
      </c>
      <c r="I548" s="87">
        <f>L535</f>
        <v>0</v>
      </c>
      <c r="J548" s="87">
        <f>L540</f>
        <v>11430.84</v>
      </c>
      <c r="K548" s="87">
        <f>SUM(F548:J548)</f>
        <v>565323.70000000007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295674.28000000003</v>
      </c>
      <c r="G550" s="87">
        <f>L527</f>
        <v>46085.67</v>
      </c>
      <c r="H550" s="87">
        <f>L532</f>
        <v>13562.19</v>
      </c>
      <c r="I550" s="87">
        <f>L537</f>
        <v>0</v>
      </c>
      <c r="J550" s="87">
        <f>L542</f>
        <v>3472.34</v>
      </c>
      <c r="K550" s="87">
        <f>SUM(F550:J550)</f>
        <v>358794.48000000004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678186.02</v>
      </c>
      <c r="G551" s="89">
        <f t="shared" si="42"/>
        <v>143488.16</v>
      </c>
      <c r="H551" s="89">
        <f t="shared" si="42"/>
        <v>87540.82</v>
      </c>
      <c r="I551" s="89">
        <f t="shared" si="42"/>
        <v>0</v>
      </c>
      <c r="J551" s="89">
        <f t="shared" si="42"/>
        <v>14903.18</v>
      </c>
      <c r="K551" s="89">
        <f t="shared" si="42"/>
        <v>924118.18000000017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37235.64+8376.18</f>
        <v>45611.82</v>
      </c>
      <c r="G578" s="18"/>
      <c r="H578" s="18">
        <f>6922.5</f>
        <v>6922.5</v>
      </c>
      <c r="I578" s="87">
        <f t="shared" si="47"/>
        <v>52534.32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6008.9+45635.99</f>
        <v>51644.89</v>
      </c>
      <c r="G581" s="18"/>
      <c r="H581" s="18">
        <f>147769.22</f>
        <v>147769.22</v>
      </c>
      <c r="I581" s="87">
        <f t="shared" si="47"/>
        <v>199414.11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52636.23</v>
      </c>
      <c r="I583" s="87">
        <f t="shared" si="47"/>
        <v>52636.23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55098.87</v>
      </c>
      <c r="I590" s="18"/>
      <c r="J590" s="18">
        <v>32359.65</v>
      </c>
      <c r="K590" s="104">
        <f t="shared" ref="K590:K596" si="48">SUM(H590:J590)</f>
        <v>87458.52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6930.4+4500.44</f>
        <v>11430.84</v>
      </c>
      <c r="I591" s="18"/>
      <c r="J591" s="18">
        <f>3472.34</f>
        <v>3472.34</v>
      </c>
      <c r="K591" s="104">
        <f t="shared" si="48"/>
        <v>14903.18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43729.279999999999</v>
      </c>
      <c r="K592" s="104">
        <f t="shared" si="48"/>
        <v>43729.279999999999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f>5818.62+4828.64</f>
        <v>10647.26</v>
      </c>
      <c r="I593" s="18"/>
      <c r="J593" s="18">
        <f>12150.79</f>
        <v>12150.79</v>
      </c>
      <c r="K593" s="104">
        <f t="shared" si="48"/>
        <v>22798.050000000003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5613.86+3324.88</f>
        <v>8938.74</v>
      </c>
      <c r="I594" s="18"/>
      <c r="J594" s="18">
        <f>5267.96</f>
        <v>5267.96</v>
      </c>
      <c r="K594" s="104">
        <f t="shared" si="48"/>
        <v>14206.7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86115.71</v>
      </c>
      <c r="I597" s="108">
        <f>SUM(I590:I596)</f>
        <v>0</v>
      </c>
      <c r="J597" s="108">
        <f>SUM(J590:J596)</f>
        <v>96980.02</v>
      </c>
      <c r="K597" s="108">
        <f>SUM(K590:K596)</f>
        <v>183095.73000000004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20993.75+38289.82</f>
        <v>59283.57</v>
      </c>
      <c r="I603" s="18"/>
      <c r="J603" s="18">
        <f>22069.83+55371.14</f>
        <v>77440.97</v>
      </c>
      <c r="K603" s="104">
        <f>SUM(H603:J603)</f>
        <v>136724.54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59283.57</v>
      </c>
      <c r="I604" s="108">
        <f>SUM(I601:I603)</f>
        <v>0</v>
      </c>
      <c r="J604" s="108">
        <f>SUM(J601:J603)</f>
        <v>77440.97</v>
      </c>
      <c r="K604" s="108">
        <f>SUM(K601:K603)</f>
        <v>136724.54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430.35</f>
        <v>430.35</v>
      </c>
      <c r="G610" s="18">
        <f>32.92+48.63</f>
        <v>81.550000000000011</v>
      </c>
      <c r="H610" s="18"/>
      <c r="I610" s="18"/>
      <c r="J610" s="18"/>
      <c r="K610" s="18"/>
      <c r="L610" s="88">
        <f>SUM(F610:K610)</f>
        <v>511.90000000000003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187.15</v>
      </c>
      <c r="G612" s="18">
        <f>14.32+21.15</f>
        <v>35.47</v>
      </c>
      <c r="H612" s="18"/>
      <c r="I612" s="18"/>
      <c r="J612" s="18"/>
      <c r="K612" s="18"/>
      <c r="L612" s="88">
        <f>SUM(F612:K612)</f>
        <v>222.62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617.5</v>
      </c>
      <c r="G613" s="108">
        <f t="shared" si="49"/>
        <v>117.02000000000001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734.52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158399.1</v>
      </c>
      <c r="H616" s="109">
        <f>SUM(F51)</f>
        <v>158399.1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25981.37</v>
      </c>
      <c r="H617" s="109">
        <f>SUM(G51)</f>
        <v>25981.366999999998</v>
      </c>
      <c r="I617" s="121" t="s">
        <v>902</v>
      </c>
      <c r="J617" s="109">
        <f>G617-H617</f>
        <v>3.0000000006111804E-3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196534.84</v>
      </c>
      <c r="H618" s="109">
        <f>SUM(H51)</f>
        <v>196534.84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191067.91</v>
      </c>
      <c r="H620" s="109">
        <f>SUM(J51)</f>
        <v>191067.91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131627.85</v>
      </c>
      <c r="H621" s="109">
        <f>F475</f>
        <v>131627.85000000056</v>
      </c>
      <c r="I621" s="121" t="s">
        <v>101</v>
      </c>
      <c r="J621" s="109">
        <f t="shared" ref="J621:J654" si="50">G621-H621</f>
        <v>-5.5297277867794037E-10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463.13699999999881</v>
      </c>
      <c r="H622" s="109">
        <f>G475</f>
        <v>463.14000000001397</v>
      </c>
      <c r="I622" s="121" t="s">
        <v>102</v>
      </c>
      <c r="J622" s="109">
        <f t="shared" si="50"/>
        <v>-3.0000000151630957E-3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191067.91</v>
      </c>
      <c r="H625" s="109">
        <f>J475</f>
        <v>191067.91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5477126.4900000002</v>
      </c>
      <c r="H626" s="104">
        <f>SUM(F467)</f>
        <v>5477126.4900000002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211175.7</v>
      </c>
      <c r="H627" s="104">
        <f>SUM(G467)</f>
        <v>211175.7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522421.57</v>
      </c>
      <c r="H628" s="104">
        <f>SUM(H467)</f>
        <v>522421.57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173.49</v>
      </c>
      <c r="H630" s="104">
        <f>SUM(J467)</f>
        <v>173.49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5345498.6400000006</v>
      </c>
      <c r="H631" s="104">
        <f>SUM(F471)</f>
        <v>5345498.6399999997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522421.57000000007</v>
      </c>
      <c r="H632" s="104">
        <f>SUM(H471)</f>
        <v>522421.57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210712.56</v>
      </c>
      <c r="H634" s="104">
        <f>SUM(G471)</f>
        <v>210712.56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173.49</v>
      </c>
      <c r="H636" s="164">
        <f>SUM(J467)</f>
        <v>173.49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191067.91</v>
      </c>
      <c r="H639" s="104">
        <f>SUM(G460)</f>
        <v>191067.91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191067.91</v>
      </c>
      <c r="H641" s="104">
        <f>SUM(I460)</f>
        <v>191067.91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173.49</v>
      </c>
      <c r="H643" s="104">
        <f>H407</f>
        <v>173.49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173.49</v>
      </c>
      <c r="H645" s="104">
        <f>L407</f>
        <v>173.49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183095.73000000004</v>
      </c>
      <c r="H646" s="104">
        <f>L207+L225+L243</f>
        <v>183095.73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136724.54</v>
      </c>
      <c r="H647" s="104">
        <f>(J256+J337)-(J254+J335)</f>
        <v>136724.53999999998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86115.71</v>
      </c>
      <c r="H648" s="104">
        <f>H597</f>
        <v>86115.71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96980.02</v>
      </c>
      <c r="H650" s="104">
        <f>J597</f>
        <v>96980.02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3772152.5200000005</v>
      </c>
      <c r="G659" s="19">
        <f>(L228+L308+L358)</f>
        <v>0</v>
      </c>
      <c r="H659" s="19">
        <f>(L246+L327+L359)</f>
        <v>2199040.3199999998</v>
      </c>
      <c r="I659" s="19">
        <f>SUM(F659:H659)</f>
        <v>5971192.8399999999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49743.740899870885</v>
      </c>
      <c r="G660" s="19">
        <f>(L358/IF(SUM(L357:L359)=0,1,SUM(L357:L359))*(SUM(G96:G109)))</f>
        <v>0</v>
      </c>
      <c r="H660" s="19">
        <f>(L359/IF(SUM(L357:L359)=0,1,SUM(L357:L359))*(SUM(G96:G109)))</f>
        <v>26784.909100129098</v>
      </c>
      <c r="I660" s="19">
        <f>SUM(F660:H660)</f>
        <v>76528.64999999998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86115.71</v>
      </c>
      <c r="G661" s="19">
        <f>(L225+L305)-(J225+J305)</f>
        <v>0</v>
      </c>
      <c r="H661" s="19">
        <f>(L243+L324)-(J243+J324)</f>
        <v>96980.02</v>
      </c>
      <c r="I661" s="19">
        <f>SUM(F661:H661)</f>
        <v>183095.73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157052.18</v>
      </c>
      <c r="G662" s="200">
        <f>SUM(G574:G586)+SUM(I601:I603)+L611</f>
        <v>0</v>
      </c>
      <c r="H662" s="200">
        <f>SUM(H574:H586)+SUM(J601:J603)+L612</f>
        <v>284991.54000000004</v>
      </c>
      <c r="I662" s="19">
        <f>SUM(F662:H662)</f>
        <v>442043.72000000003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3479240.8891001297</v>
      </c>
      <c r="G663" s="19">
        <f>G659-SUM(G660:G662)</f>
        <v>0</v>
      </c>
      <c r="H663" s="19">
        <f>H659-SUM(H660:H662)</f>
        <v>1790283.8508998707</v>
      </c>
      <c r="I663" s="19">
        <f>I659-SUM(I660:I662)</f>
        <v>5269524.74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229.04</v>
      </c>
      <c r="G664" s="249">
        <v>0</v>
      </c>
      <c r="H664" s="249">
        <v>150.93</v>
      </c>
      <c r="I664" s="19">
        <f>SUM(F664:H664)</f>
        <v>379.97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15190.54</v>
      </c>
      <c r="G666" s="19" t="e">
        <f>ROUND(G663/G664,2)</f>
        <v>#DIV/0!</v>
      </c>
      <c r="H666" s="19">
        <f>ROUND(H663/H664,2)</f>
        <v>11861.68</v>
      </c>
      <c r="I666" s="19">
        <f>ROUND(I663/I664,2)</f>
        <v>13868.27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>
        <v>-5.51</v>
      </c>
      <c r="I669" s="19">
        <f>SUM(F669:H669)</f>
        <v>-5.51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15190.54</v>
      </c>
      <c r="G671" s="19" t="e">
        <f>ROUND((G663+G668)/(G664+G669),2)</f>
        <v>#DIV/0!</v>
      </c>
      <c r="H671" s="19">
        <f>ROUND((H663+H668)/(H664+H669),2)</f>
        <v>12311.13</v>
      </c>
      <c r="I671" s="19">
        <f>ROUND((I663+I668)/(I664+I669),2)</f>
        <v>14072.33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C38" sqref="C3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NORTHUMBERLAND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1749348.9100000001</v>
      </c>
      <c r="C9" s="230">
        <f>'DOE25'!G196+'DOE25'!G214+'DOE25'!G232+'DOE25'!G275+'DOE25'!G294+'DOE25'!G313</f>
        <v>669626.06000000006</v>
      </c>
    </row>
    <row r="10" spans="1:3">
      <c r="A10" t="s">
        <v>779</v>
      </c>
      <c r="B10" s="241">
        <f>542913.88+309702.34+521716.71+2610+5587.5+712+1400.5+25979.97+5820.72+27415.42+5170.37+18051.63+11260.42+1324.16+2125+150783.39+13082.43+2300+1375+32625+1260+2620</f>
        <v>1685836.4399999997</v>
      </c>
      <c r="C10" s="241">
        <f>-4858.7+117538.86+85975.85+109153.04+2785.26+1633.99+2691.83+44542.1+24294.3+41237.56+2.14+61633.34+34319.3+57031.37+480.6+7226.59+1844.81+1680+645+675+1367.83+848.91+1267.03+1789.42+1072.59+1686.78+250+369.75+583.18+1397.28+55+1345.07+1436.32+9059+362+1293.78+488.87-387.8+191.26+155.1+209.67+18863.93+408.98+11187.88+10825.95+945+1000.89+736.2+175.95+105.19+67.8+2441.73+3331.37+96.4+71.2+200.43-1064.82</f>
        <v>664767.36</v>
      </c>
    </row>
    <row r="11" spans="1:3">
      <c r="A11" t="s">
        <v>780</v>
      </c>
      <c r="B11" s="241">
        <f>15292.55+14242.68+1272.45+14331.45+6598.51+11774.83</f>
        <v>63512.470000000008</v>
      </c>
      <c r="C11" s="241">
        <v>4858.7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1749348.9099999997</v>
      </c>
      <c r="C13" s="232">
        <f>SUM(C10:C12)</f>
        <v>669626.05999999994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316837.19</v>
      </c>
      <c r="C18" s="230">
        <f>'DOE25'!G197+'DOE25'!G215+'DOE25'!G233+'DOE25'!G276+'DOE25'!G295+'DOE25'!G314</f>
        <v>99995.999999999985</v>
      </c>
    </row>
    <row r="19" spans="1:3">
      <c r="A19" t="s">
        <v>779</v>
      </c>
      <c r="B19" s="241">
        <f>12761.96+8303.47+10291.1+69589.38+34124.3+58039.52+4215.99+1336.01+450</f>
        <v>199111.73</v>
      </c>
      <c r="C19" s="241">
        <f>10107.07+2332.55+1548.63+121.49+75.7-10.66+942.68+628.9+796.32+1325.39+768.5+792.94-7900.9+16970.73+12577.41+6288.3+491.18+196.56+270.32+7562.26+5031.86+7304.84+8363.51+4030.7+6586.06+400+400+1000+192+450+321+256.1+225.37+201.9</f>
        <v>90648.709999999992</v>
      </c>
    </row>
    <row r="20" spans="1:3">
      <c r="A20" t="s">
        <v>780</v>
      </c>
      <c r="B20" s="241">
        <f>30519.36+31812.51+38127.95+806.85+1039.35+973.75+10768.24+3677.45</f>
        <v>117725.46</v>
      </c>
      <c r="C20" s="241">
        <f>823.73+281.34+167+123+39.03+12.29+7900.9</f>
        <v>9347.2899999999991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316837.19</v>
      </c>
      <c r="C22" s="232">
        <f>SUM(C19:C21)</f>
        <v>99995.999999999985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65027.069999999992</v>
      </c>
      <c r="C36" s="236">
        <f>'DOE25'!G199+'DOE25'!G217+'DOE25'!G235+'DOE25'!G278+'DOE25'!G297+'DOE25'!G316</f>
        <v>8487.5</v>
      </c>
    </row>
    <row r="37" spans="1:3">
      <c r="A37" t="s">
        <v>779</v>
      </c>
      <c r="B37" s="241">
        <f>430.35+187.15+7166.88+10239.32+30265.8-16198+16737.57-15000</f>
        <v>33829.07</v>
      </c>
      <c r="C37" s="241">
        <f>-3812.07+1134.45+6.77+625.07+706.48+83.41+8.48+2315.37+283.78+227.89+58.08+97.18+303.96+123.18+4+1403.4+145+152+449+51+59+250</f>
        <v>4675.43</v>
      </c>
    </row>
    <row r="38" spans="1:3">
      <c r="A38" t="s">
        <v>780</v>
      </c>
      <c r="B38" s="241">
        <f>16198+15000</f>
        <v>31198</v>
      </c>
      <c r="C38" s="241">
        <f>1239.15+1425.42+1147.5</f>
        <v>3812.07</v>
      </c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65027.07</v>
      </c>
      <c r="C40" s="232">
        <f>SUM(C37:C39)</f>
        <v>8487.5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NORTHUMBERLAND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3203819.74</v>
      </c>
      <c r="D5" s="20">
        <f>SUM('DOE25'!L196:L199)+SUM('DOE25'!L214:L217)+SUM('DOE25'!L232:L235)-F5-G5</f>
        <v>3158020.7300000004</v>
      </c>
      <c r="E5" s="244"/>
      <c r="F5" s="256">
        <f>SUM('DOE25'!J196:J199)+SUM('DOE25'!J214:J217)+SUM('DOE25'!J232:J235)</f>
        <v>41397.459999999992</v>
      </c>
      <c r="G5" s="53">
        <f>SUM('DOE25'!K196:K199)+SUM('DOE25'!K214:K217)+SUM('DOE25'!K232:K235)</f>
        <v>4401.55</v>
      </c>
      <c r="H5" s="260"/>
    </row>
    <row r="6" spans="1:9">
      <c r="A6" s="32">
        <v>2100</v>
      </c>
      <c r="B6" t="s">
        <v>801</v>
      </c>
      <c r="C6" s="246">
        <f t="shared" si="0"/>
        <v>333155.92000000004</v>
      </c>
      <c r="D6" s="20">
        <f>'DOE25'!L201+'DOE25'!L219+'DOE25'!L237-F6-G6</f>
        <v>332495.68000000005</v>
      </c>
      <c r="E6" s="244"/>
      <c r="F6" s="256">
        <f>'DOE25'!J201+'DOE25'!J219+'DOE25'!J237</f>
        <v>264.60000000000002</v>
      </c>
      <c r="G6" s="53">
        <f>'DOE25'!K201+'DOE25'!K219+'DOE25'!K237</f>
        <v>395.64</v>
      </c>
      <c r="H6" s="260"/>
    </row>
    <row r="7" spans="1:9">
      <c r="A7" s="32">
        <v>2200</v>
      </c>
      <c r="B7" t="s">
        <v>834</v>
      </c>
      <c r="C7" s="246">
        <f t="shared" si="0"/>
        <v>199583.03000000003</v>
      </c>
      <c r="D7" s="20">
        <f>'DOE25'!L202+'DOE25'!L220+'DOE25'!L238-F7-G7</f>
        <v>199202.03000000003</v>
      </c>
      <c r="E7" s="244"/>
      <c r="F7" s="256">
        <f>'DOE25'!J202+'DOE25'!J220+'DOE25'!J238</f>
        <v>381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134070.25</v>
      </c>
      <c r="D8" s="244"/>
      <c r="E8" s="20">
        <f>'DOE25'!L203+'DOE25'!L221+'DOE25'!L239-F8-G8-D9-D11</f>
        <v>129202.5</v>
      </c>
      <c r="F8" s="256">
        <f>'DOE25'!J203+'DOE25'!J221+'DOE25'!J239</f>
        <v>0</v>
      </c>
      <c r="G8" s="53">
        <f>'DOE25'!K203+'DOE25'!K221+'DOE25'!K239</f>
        <v>4867.75</v>
      </c>
      <c r="H8" s="260"/>
    </row>
    <row r="9" spans="1:9">
      <c r="A9" s="32">
        <v>2310</v>
      </c>
      <c r="B9" t="s">
        <v>818</v>
      </c>
      <c r="C9" s="246">
        <f t="shared" si="0"/>
        <v>44501.63</v>
      </c>
      <c r="D9" s="245">
        <v>44501.63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23861</v>
      </c>
      <c r="D10" s="244"/>
      <c r="E10" s="245">
        <v>23861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120421.43</v>
      </c>
      <c r="D11" s="245">
        <v>120421.43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515625.43999999994</v>
      </c>
      <c r="D12" s="20">
        <f>'DOE25'!L204+'DOE25'!L222+'DOE25'!L240-F12-G12</f>
        <v>505941.79999999993</v>
      </c>
      <c r="E12" s="244"/>
      <c r="F12" s="256">
        <f>'DOE25'!J204+'DOE25'!J222+'DOE25'!J240</f>
        <v>0</v>
      </c>
      <c r="G12" s="53">
        <f>'DOE25'!K204+'DOE25'!K222+'DOE25'!K240</f>
        <v>9683.64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503785.54000000004</v>
      </c>
      <c r="D14" s="20">
        <f>'DOE25'!L206+'DOE25'!L224+'DOE25'!L242-F14-G14</f>
        <v>502765.02</v>
      </c>
      <c r="E14" s="244"/>
      <c r="F14" s="256">
        <f>'DOE25'!J206+'DOE25'!J224+'DOE25'!J242</f>
        <v>1020.52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183095.73</v>
      </c>
      <c r="D15" s="20">
        <f>'DOE25'!L207+'DOE25'!L225+'DOE25'!L243-F15-G15</f>
        <v>183095.73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49975</v>
      </c>
      <c r="D22" s="244"/>
      <c r="E22" s="244"/>
      <c r="F22" s="256">
        <f>'DOE25'!L254+'DOE25'!L335</f>
        <v>49975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57464.93</v>
      </c>
      <c r="D25" s="244"/>
      <c r="E25" s="244"/>
      <c r="F25" s="259"/>
      <c r="G25" s="257"/>
      <c r="H25" s="258">
        <f>'DOE25'!L259+'DOE25'!L260+'DOE25'!L340+'DOE25'!L341</f>
        <v>57464.93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210712.56</v>
      </c>
      <c r="D29" s="20">
        <f>'DOE25'!L357+'DOE25'!L358+'DOE25'!L359-'DOE25'!I366-F29-G29</f>
        <v>210712.56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522421.57000000012</v>
      </c>
      <c r="D31" s="20">
        <f>'DOE25'!L289+'DOE25'!L308+'DOE25'!L327+'DOE25'!L332+'DOE25'!L333+'DOE25'!L334-F31-G31</f>
        <v>427876.19000000012</v>
      </c>
      <c r="E31" s="244"/>
      <c r="F31" s="256">
        <f>'DOE25'!J289+'DOE25'!J308+'DOE25'!J327+'DOE25'!J332+'DOE25'!J333+'DOE25'!J334</f>
        <v>93660.959999999992</v>
      </c>
      <c r="G31" s="53">
        <f>'DOE25'!K289+'DOE25'!K308+'DOE25'!K327+'DOE25'!K332+'DOE25'!K333+'DOE25'!K334</f>
        <v>884.42000000000007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5685032.8000000007</v>
      </c>
      <c r="E33" s="247">
        <f>SUM(E5:E31)</f>
        <v>153063.5</v>
      </c>
      <c r="F33" s="247">
        <f>SUM(F5:F31)</f>
        <v>186699.53999999998</v>
      </c>
      <c r="G33" s="247">
        <f>SUM(G5:G31)</f>
        <v>20233</v>
      </c>
      <c r="H33" s="247">
        <f>SUM(H5:H31)</f>
        <v>57464.93</v>
      </c>
    </row>
    <row r="35" spans="2:8" ht="12" thickBot="1">
      <c r="B35" s="254" t="s">
        <v>847</v>
      </c>
      <c r="D35" s="255">
        <f>E33</f>
        <v>153063.5</v>
      </c>
      <c r="E35" s="250"/>
    </row>
    <row r="36" spans="2:8" ht="12" thickTop="1">
      <c r="B36" t="s">
        <v>815</v>
      </c>
      <c r="D36" s="20">
        <f>D33</f>
        <v>5685032.8000000007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54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NORTHUMBERLAND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-67448.91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191067.91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14027.94</v>
      </c>
      <c r="D11" s="95">
        <f>'DOE25'!G12</f>
        <v>0</v>
      </c>
      <c r="E11" s="95">
        <f>'DOE25'!H12</f>
        <v>10233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211820.07</v>
      </c>
      <c r="D13" s="95">
        <f>'DOE25'!G14</f>
        <v>25518.23</v>
      </c>
      <c r="E13" s="95">
        <f>'DOE25'!H14</f>
        <v>186301.84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463.13999999999942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158399.1</v>
      </c>
      <c r="D18" s="41">
        <f>SUM(D8:D17)</f>
        <v>25981.37</v>
      </c>
      <c r="E18" s="41">
        <f>SUM(E8:E17)</f>
        <v>196534.84</v>
      </c>
      <c r="F18" s="41">
        <f>SUM(F8:F17)</f>
        <v>0</v>
      </c>
      <c r="G18" s="41">
        <f>SUM(G8:G17)</f>
        <v>191067.91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10233</v>
      </c>
      <c r="D21" s="95">
        <f>'DOE25'!G22</f>
        <v>25518.23</v>
      </c>
      <c r="E21" s="95">
        <f>'DOE25'!H22</f>
        <v>186301.84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13515.96</v>
      </c>
      <c r="D27" s="95">
        <f>'DOE25'!G28</f>
        <v>0</v>
      </c>
      <c r="E27" s="95">
        <f>'DOE25'!H28</f>
        <v>10233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2559.15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463.13999999999942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26771.25</v>
      </c>
      <c r="D31" s="41">
        <f>SUM(D21:D30)</f>
        <v>25518.23</v>
      </c>
      <c r="E31" s="41">
        <f>SUM(E21:E30)</f>
        <v>196534.84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463.13699999999881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191067.91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56627.85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131627.85</v>
      </c>
      <c r="D49" s="41">
        <f>SUM(D34:D48)</f>
        <v>463.13699999999881</v>
      </c>
      <c r="E49" s="41">
        <f>SUM(E34:E48)</f>
        <v>0</v>
      </c>
      <c r="F49" s="41">
        <f>SUM(F34:F48)</f>
        <v>0</v>
      </c>
      <c r="G49" s="41">
        <f>SUM(G34:G48)</f>
        <v>191067.91</v>
      </c>
      <c r="H49" s="124"/>
      <c r="I49" s="124"/>
    </row>
    <row r="50" spans="1:9" ht="12" thickTop="1">
      <c r="A50" s="38" t="s">
        <v>895</v>
      </c>
      <c r="B50" s="2"/>
      <c r="C50" s="41">
        <f>C49+C31</f>
        <v>158399.1</v>
      </c>
      <c r="D50" s="41">
        <f>D49+D31</f>
        <v>25981.366999999998</v>
      </c>
      <c r="E50" s="41">
        <f>E49+E31</f>
        <v>196534.84</v>
      </c>
      <c r="F50" s="41">
        <f>F49+F31</f>
        <v>0</v>
      </c>
      <c r="G50" s="41">
        <f>G49+G31</f>
        <v>191067.91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1416354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849665.05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1739.33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173.49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76528.649999999994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10000.08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861404.46</v>
      </c>
      <c r="D61" s="130">
        <f>SUM(D56:D60)</f>
        <v>76528.649999999994</v>
      </c>
      <c r="E61" s="130">
        <f>SUM(E56:E60)</f>
        <v>0</v>
      </c>
      <c r="F61" s="130">
        <f>SUM(F56:F60)</f>
        <v>0</v>
      </c>
      <c r="G61" s="130">
        <f>SUM(G56:G60)</f>
        <v>173.49</v>
      </c>
      <c r="H61"/>
      <c r="I61"/>
    </row>
    <row r="62" spans="1:9" ht="12" thickTop="1">
      <c r="A62" s="29" t="s">
        <v>175</v>
      </c>
      <c r="B62" s="6"/>
      <c r="C62" s="22">
        <f>C55+C61</f>
        <v>2277758.46</v>
      </c>
      <c r="D62" s="22">
        <f>D55+D61</f>
        <v>76528.649999999994</v>
      </c>
      <c r="E62" s="22">
        <f>E55+E61</f>
        <v>0</v>
      </c>
      <c r="F62" s="22">
        <f>F55+F61</f>
        <v>0</v>
      </c>
      <c r="G62" s="22">
        <f>G55+G61</f>
        <v>173.49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2663756.0299999998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246575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2307.9699999999998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5107.7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2917746.7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29506.44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20850.830000000002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31646.11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2144.2600000000002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82003.38</v>
      </c>
      <c r="D77" s="130">
        <f>SUM(D71:D76)</f>
        <v>2144.2600000000002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2999750.08</v>
      </c>
      <c r="D80" s="130">
        <f>SUM(D78:D79)+D77+D69</f>
        <v>2144.2600000000002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63053.55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SUM('DOE25'!F148:F158)</f>
        <v>109078.72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131730.42000000001</v>
      </c>
      <c r="D87" s="95">
        <f>SUM('DOE25'!G152:G160)</f>
        <v>132502.79</v>
      </c>
      <c r="E87" s="95">
        <f>SUM('DOE25'!H152:H160)</f>
        <v>522421.57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656.98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304519.67000000004</v>
      </c>
      <c r="D90" s="131">
        <f>SUM(D84:D89)</f>
        <v>132502.79</v>
      </c>
      <c r="E90" s="131">
        <f>SUM(E84:E89)</f>
        <v>522421.57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4177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4177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5586205.21</v>
      </c>
      <c r="D103" s="86">
        <f>D62+D80+D90+D102</f>
        <v>211175.7</v>
      </c>
      <c r="E103" s="86">
        <f>E62+E80+E90+E102</f>
        <v>522421.57</v>
      </c>
      <c r="F103" s="86">
        <f>F62+F80+F90+F102</f>
        <v>0</v>
      </c>
      <c r="G103" s="86">
        <f>G62+G80+G102</f>
        <v>173.49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2287203.1300000004</v>
      </c>
      <c r="D108" s="24" t="s">
        <v>289</v>
      </c>
      <c r="E108" s="95">
        <f>('DOE25'!L275)+('DOE25'!L294)+('DOE25'!L313)</f>
        <v>460431.91000000003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762859.52000000002</v>
      </c>
      <c r="D109" s="24" t="s">
        <v>289</v>
      </c>
      <c r="E109" s="95">
        <f>('DOE25'!L276)+('DOE25'!L295)+('DOE25'!L314)</f>
        <v>58814.66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52636.23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101120.85999999999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3203819.74</v>
      </c>
      <c r="D114" s="86">
        <f>SUM(D108:D113)</f>
        <v>0</v>
      </c>
      <c r="E114" s="86">
        <f>SUM(E108:E113)</f>
        <v>519246.57000000007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333155.92000000004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199583.03000000003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298993.31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515625.43999999994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503785.54000000004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183095.73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3175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210712.56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2034238.97</v>
      </c>
      <c r="D127" s="86">
        <f>SUM(D117:D126)</f>
        <v>210712.56</v>
      </c>
      <c r="E127" s="86">
        <f>SUM(E117:E126)</f>
        <v>3175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49975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48571.43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8893.5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173.49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-173.49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107439.93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5345498.6399999997</v>
      </c>
      <c r="D144" s="86">
        <f>(D114+D127+D143)</f>
        <v>210712.56</v>
      </c>
      <c r="E144" s="86">
        <f>(E114+E127+E143)</f>
        <v>522421.57000000007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14</v>
      </c>
      <c r="C150" s="153">
        <f>'DOE25'!G489</f>
        <v>10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 t="str">
        <f>'DOE25'!F490</f>
        <v>06/01</v>
      </c>
      <c r="C151" s="152" t="str">
        <f>'DOE25'!G490</f>
        <v>09/10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 t="str">
        <f>'DOE25'!F491</f>
        <v>06/15</v>
      </c>
      <c r="C152" s="152" t="str">
        <f>'DOE25'!G491</f>
        <v>09/20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400000</v>
      </c>
      <c r="C153" s="137">
        <f>'DOE25'!G492</f>
        <v>225501.31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5.39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114285.7</v>
      </c>
      <c r="C155" s="137">
        <f>'DOE25'!G494</f>
        <v>175000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289285.7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28571.43</v>
      </c>
      <c r="C157" s="137">
        <f>'DOE25'!G496</f>
        <v>28893.5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57464.93</v>
      </c>
    </row>
    <row r="158" spans="1:9">
      <c r="A158" s="22" t="s">
        <v>35</v>
      </c>
      <c r="B158" s="137">
        <f>'DOE25'!F497</f>
        <v>85714.27</v>
      </c>
      <c r="C158" s="137">
        <f>'DOE25'!G497</f>
        <v>155000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240714.27000000002</v>
      </c>
    </row>
    <row r="159" spans="1:9">
      <c r="A159" s="22" t="s">
        <v>36</v>
      </c>
      <c r="B159" s="137">
        <f>'DOE25'!F498</f>
        <v>0</v>
      </c>
      <c r="C159" s="137">
        <f>'DOE25'!G498</f>
        <v>34900.25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34900.25</v>
      </c>
    </row>
    <row r="160" spans="1:9">
      <c r="A160" s="22" t="s">
        <v>37</v>
      </c>
      <c r="B160" s="137">
        <f>'DOE25'!F499</f>
        <v>85714.27</v>
      </c>
      <c r="C160" s="137">
        <f>'DOE25'!G499</f>
        <v>189900.25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275614.52</v>
      </c>
    </row>
    <row r="161" spans="1:7">
      <c r="A161" s="22" t="s">
        <v>38</v>
      </c>
      <c r="B161" s="137">
        <f>'DOE25'!F500</f>
        <v>28571.43</v>
      </c>
      <c r="C161" s="137">
        <f>'DOE25'!G500</f>
        <v>20000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48571.43</v>
      </c>
    </row>
    <row r="162" spans="1:7">
      <c r="A162" s="22" t="s">
        <v>39</v>
      </c>
      <c r="B162" s="137">
        <f>'DOE25'!F501</f>
        <v>0</v>
      </c>
      <c r="C162" s="137">
        <f>'DOE25'!G501</f>
        <v>7815.5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7815.5</v>
      </c>
    </row>
    <row r="163" spans="1:7">
      <c r="A163" s="22" t="s">
        <v>246</v>
      </c>
      <c r="B163" s="137">
        <f>'DOE25'!F502</f>
        <v>28571.43</v>
      </c>
      <c r="C163" s="137">
        <f>'DOE25'!G502</f>
        <v>27815.5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56386.93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NORTHUMBERLAND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15191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12311</v>
      </c>
    </row>
    <row r="7" spans="1:4">
      <c r="B7" t="s">
        <v>705</v>
      </c>
      <c r="C7" s="179">
        <f>IF('DOE25'!I664+'DOE25'!I669=0,0,ROUND('DOE25'!I671,0))</f>
        <v>14072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2747635</v>
      </c>
      <c r="D10" s="182">
        <f>ROUND((C10/$C$28)*100,1)</f>
        <v>46.5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821674</v>
      </c>
      <c r="D11" s="182">
        <f>ROUND((C11/$C$28)*100,1)</f>
        <v>13.9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52636</v>
      </c>
      <c r="D12" s="182">
        <f>ROUND((C12/$C$28)*100,1)</f>
        <v>0.9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101121</v>
      </c>
      <c r="D13" s="182">
        <f>ROUND((C13/$C$28)*100,1)</f>
        <v>1.7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333156</v>
      </c>
      <c r="D15" s="182">
        <f t="shared" ref="D15:D27" si="0">ROUND((C15/$C$28)*100,1)</f>
        <v>5.6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199583</v>
      </c>
      <c r="D16" s="182">
        <f t="shared" si="0"/>
        <v>3.4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302168</v>
      </c>
      <c r="D17" s="182">
        <f t="shared" si="0"/>
        <v>5.0999999999999996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515625</v>
      </c>
      <c r="D18" s="182">
        <f t="shared" si="0"/>
        <v>8.6999999999999993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503786</v>
      </c>
      <c r="D20" s="182">
        <f t="shared" si="0"/>
        <v>8.5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183096</v>
      </c>
      <c r="D21" s="182">
        <f t="shared" si="0"/>
        <v>3.1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8894</v>
      </c>
      <c r="D25" s="182">
        <f t="shared" si="0"/>
        <v>0.2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134184.35</v>
      </c>
      <c r="D27" s="182">
        <f t="shared" si="0"/>
        <v>2.2999999999999998</v>
      </c>
    </row>
    <row r="28" spans="1:4">
      <c r="B28" s="187" t="s">
        <v>723</v>
      </c>
      <c r="C28" s="180">
        <f>SUM(C10:C27)</f>
        <v>5903558.3499999996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49975</v>
      </c>
    </row>
    <row r="30" spans="1:4">
      <c r="B30" s="187" t="s">
        <v>729</v>
      </c>
      <c r="C30" s="180">
        <f>SUM(C28:C29)</f>
        <v>5953533.3499999996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48571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1416354</v>
      </c>
      <c r="D35" s="182">
        <f t="shared" ref="D35:D40" si="1">ROUND((C35/$C$41)*100,1)</f>
        <v>23.1</v>
      </c>
    </row>
    <row r="36" spans="1:4">
      <c r="B36" s="185" t="s">
        <v>743</v>
      </c>
      <c r="C36" s="179">
        <f>SUM('DOE25'!F111:J111)-SUM('DOE25'!G96:G109)+('DOE25'!F173+'DOE25'!F174+'DOE25'!I173+'DOE25'!I174)-C35</f>
        <v>865754.95000000019</v>
      </c>
      <c r="D36" s="182">
        <f t="shared" si="1"/>
        <v>14.1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2912639</v>
      </c>
      <c r="D37" s="182">
        <f t="shared" si="1"/>
        <v>47.5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89255</v>
      </c>
      <c r="D38" s="182">
        <f t="shared" si="1"/>
        <v>1.5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850365</v>
      </c>
      <c r="D39" s="182">
        <f t="shared" si="1"/>
        <v>13.9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6134367.9500000002</v>
      </c>
      <c r="D41" s="184">
        <f>SUM(D35:D40)</f>
        <v>100.10000000000001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NORTHUMBERLAND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P40:Z40"/>
    <mergeCell ref="EC40:EM40"/>
    <mergeCell ref="FC40:FM40"/>
    <mergeCell ref="FP40:FZ40"/>
    <mergeCell ref="P39:Z39"/>
    <mergeCell ref="AC40:AM40"/>
    <mergeCell ref="CP39:CZ39"/>
    <mergeCell ref="BP40:BZ40"/>
    <mergeCell ref="BC40:BM40"/>
    <mergeCell ref="AP40:AZ40"/>
    <mergeCell ref="BC39:BM39"/>
    <mergeCell ref="AP39:AZ39"/>
    <mergeCell ref="IP31:IV31"/>
    <mergeCell ref="FP30:FZ30"/>
    <mergeCell ref="FC30:FM30"/>
    <mergeCell ref="GC30:GM30"/>
    <mergeCell ref="GP30:GZ30"/>
    <mergeCell ref="IP30:IV30"/>
    <mergeCell ref="HC31:HM31"/>
    <mergeCell ref="FC31:FM31"/>
    <mergeCell ref="HP31:HZ31"/>
    <mergeCell ref="FP31:FZ31"/>
    <mergeCell ref="GC31:GM31"/>
    <mergeCell ref="IC30:IM30"/>
    <mergeCell ref="IP32:IV32"/>
    <mergeCell ref="DP39:DZ39"/>
    <mergeCell ref="EC39:EM39"/>
    <mergeCell ref="GP32:GZ32"/>
    <mergeCell ref="HC38:HM38"/>
    <mergeCell ref="GP38:GZ38"/>
    <mergeCell ref="HC32:HM32"/>
    <mergeCell ref="GC39:GM39"/>
    <mergeCell ref="EP38:EZ38"/>
    <mergeCell ref="HC39:HM39"/>
    <mergeCell ref="EP39:EZ39"/>
    <mergeCell ref="FC39:FM39"/>
    <mergeCell ref="FP39:FZ39"/>
    <mergeCell ref="GP39:GZ39"/>
    <mergeCell ref="HP39:HZ39"/>
    <mergeCell ref="HP32:HZ32"/>
    <mergeCell ref="FC32:FM32"/>
    <mergeCell ref="IP40:IV40"/>
    <mergeCell ref="CP40:CZ40"/>
    <mergeCell ref="IP38:IV38"/>
    <mergeCell ref="EP40:EZ40"/>
    <mergeCell ref="IP39:IV39"/>
    <mergeCell ref="HP40:HZ40"/>
    <mergeCell ref="IC39:IM39"/>
    <mergeCell ref="HP38:HZ38"/>
    <mergeCell ref="IC38:IM38"/>
    <mergeCell ref="GC40:GM40"/>
    <mergeCell ref="GP40:GZ40"/>
    <mergeCell ref="HC40:HM40"/>
    <mergeCell ref="DC40:DM40"/>
    <mergeCell ref="DP40:DZ40"/>
    <mergeCell ref="GC38:GM38"/>
    <mergeCell ref="FP38:FZ38"/>
    <mergeCell ref="CC39:CM39"/>
    <mergeCell ref="DC39:DM39"/>
    <mergeCell ref="BP39:BZ39"/>
    <mergeCell ref="FC38:FM38"/>
    <mergeCell ref="IC40:IM40"/>
    <mergeCell ref="CC40:CM40"/>
    <mergeCell ref="DC38:DM38"/>
    <mergeCell ref="DP38:DZ38"/>
    <mergeCell ref="CP38:CZ38"/>
    <mergeCell ref="P29:Z29"/>
    <mergeCell ref="EP30:EZ30"/>
    <mergeCell ref="HP30:HZ30"/>
    <mergeCell ref="CC29:CM29"/>
    <mergeCell ref="HP29:HZ29"/>
    <mergeCell ref="C30:M30"/>
    <mergeCell ref="IC29:IM29"/>
    <mergeCell ref="EP29:EZ29"/>
    <mergeCell ref="FC29:FM29"/>
    <mergeCell ref="FP29:FZ29"/>
    <mergeCell ref="GC29:GM29"/>
    <mergeCell ref="GP29:GZ29"/>
    <mergeCell ref="HC29:HM29"/>
    <mergeCell ref="EC29:EM29"/>
    <mergeCell ref="EP31:EZ31"/>
    <mergeCell ref="AC32:AM32"/>
    <mergeCell ref="BP32:BZ32"/>
    <mergeCell ref="DP32:DZ32"/>
    <mergeCell ref="EC31:EM31"/>
    <mergeCell ref="CP32:CZ32"/>
    <mergeCell ref="CC32:CM32"/>
    <mergeCell ref="DC32:DM32"/>
    <mergeCell ref="IC32:IM32"/>
    <mergeCell ref="IP29:IV29"/>
    <mergeCell ref="C42:M42"/>
    <mergeCell ref="P30:Z30"/>
    <mergeCell ref="AC30:AM30"/>
    <mergeCell ref="AP30:AZ30"/>
    <mergeCell ref="C41:M41"/>
    <mergeCell ref="CC30:CM30"/>
    <mergeCell ref="AC39:AM39"/>
    <mergeCell ref="BP29:BZ29"/>
    <mergeCell ref="CP30:CZ30"/>
    <mergeCell ref="IC31:IM31"/>
    <mergeCell ref="EC38:EM38"/>
    <mergeCell ref="AP32:AZ32"/>
    <mergeCell ref="BC31:BM31"/>
    <mergeCell ref="BC32:BM32"/>
    <mergeCell ref="GP31:GZ31"/>
    <mergeCell ref="FP32:FZ32"/>
    <mergeCell ref="GC32:GM32"/>
    <mergeCell ref="DP31:DZ31"/>
    <mergeCell ref="AP31:AZ31"/>
    <mergeCell ref="EC32:EM32"/>
    <mergeCell ref="EP32:EZ32"/>
    <mergeCell ref="EC30:EM30"/>
    <mergeCell ref="HC30:HM30"/>
    <mergeCell ref="DC29:DM29"/>
    <mergeCell ref="DP29:DZ29"/>
    <mergeCell ref="CP29:CZ29"/>
    <mergeCell ref="BP30:BZ30"/>
    <mergeCell ref="BC30:BM30"/>
    <mergeCell ref="AC29:AM29"/>
    <mergeCell ref="AP29:AZ29"/>
    <mergeCell ref="BC29:BM29"/>
    <mergeCell ref="DP30:DZ30"/>
    <mergeCell ref="DC30:DM30"/>
    <mergeCell ref="C36:M36"/>
    <mergeCell ref="CC38:CM38"/>
    <mergeCell ref="C32:M32"/>
    <mergeCell ref="DC31:DM31"/>
    <mergeCell ref="BP31:BZ31"/>
    <mergeCell ref="CC31:CM31"/>
    <mergeCell ref="CP31:CZ31"/>
    <mergeCell ref="C33:M33"/>
    <mergeCell ref="P38:Z38"/>
    <mergeCell ref="C34:M34"/>
    <mergeCell ref="P32:Z32"/>
    <mergeCell ref="AC38:AM38"/>
    <mergeCell ref="AP38:AZ38"/>
    <mergeCell ref="C31:M31"/>
    <mergeCell ref="P31:Z31"/>
    <mergeCell ref="AC31:AM31"/>
    <mergeCell ref="BC38:BM38"/>
    <mergeCell ref="BP38:BZ38"/>
    <mergeCell ref="C12:M12"/>
    <mergeCell ref="C20:M20"/>
    <mergeCell ref="C23:M23"/>
    <mergeCell ref="C22:M22"/>
    <mergeCell ref="C18:M18"/>
    <mergeCell ref="C19:M19"/>
    <mergeCell ref="C26:M26"/>
    <mergeCell ref="C13:M13"/>
    <mergeCell ref="C35:M35"/>
    <mergeCell ref="C29:M29"/>
    <mergeCell ref="C67:M67"/>
    <mergeCell ref="C68:M68"/>
    <mergeCell ref="C69:M69"/>
    <mergeCell ref="A1:I1"/>
    <mergeCell ref="C3:M3"/>
    <mergeCell ref="C4:M4"/>
    <mergeCell ref="F2:I2"/>
    <mergeCell ref="A2:E2"/>
    <mergeCell ref="C5:M5"/>
    <mergeCell ref="C6:M6"/>
    <mergeCell ref="C7:M7"/>
    <mergeCell ref="C8:M8"/>
    <mergeCell ref="C27:M27"/>
    <mergeCell ref="C14:M14"/>
    <mergeCell ref="C15:M15"/>
    <mergeCell ref="C16:M16"/>
    <mergeCell ref="C21:M21"/>
    <mergeCell ref="C53:M53"/>
    <mergeCell ref="C48:M48"/>
    <mergeCell ref="C49:M49"/>
    <mergeCell ref="C46:M46"/>
    <mergeCell ref="C37:M37"/>
    <mergeCell ref="C38:M38"/>
    <mergeCell ref="C45:M45"/>
    <mergeCell ref="C54:M54"/>
    <mergeCell ref="C55:M55"/>
    <mergeCell ref="C56:M56"/>
    <mergeCell ref="C57:M57"/>
    <mergeCell ref="C61:M61"/>
    <mergeCell ref="C66:M66"/>
    <mergeCell ref="C59:M59"/>
    <mergeCell ref="C60:M60"/>
    <mergeCell ref="C9:M9"/>
    <mergeCell ref="C10:M10"/>
    <mergeCell ref="C25:M25"/>
    <mergeCell ref="C28:M28"/>
    <mergeCell ref="C17:M17"/>
    <mergeCell ref="C58:M58"/>
    <mergeCell ref="C40:M40"/>
    <mergeCell ref="C44:M44"/>
    <mergeCell ref="C43:M43"/>
    <mergeCell ref="C39:M39"/>
    <mergeCell ref="C52:M52"/>
    <mergeCell ref="C51:M51"/>
    <mergeCell ref="C50:M50"/>
    <mergeCell ref="C47:M47"/>
    <mergeCell ref="C24:M24"/>
    <mergeCell ref="C11:M11"/>
    <mergeCell ref="C86:M86"/>
    <mergeCell ref="C87:M87"/>
    <mergeCell ref="C62:M62"/>
    <mergeCell ref="C63:M63"/>
    <mergeCell ref="C89:M89"/>
    <mergeCell ref="C90:M90"/>
    <mergeCell ref="C81:M81"/>
    <mergeCell ref="C82:M82"/>
    <mergeCell ref="C88:M88"/>
    <mergeCell ref="C83:M83"/>
    <mergeCell ref="C84:M84"/>
    <mergeCell ref="C85:M85"/>
    <mergeCell ref="C79:M79"/>
    <mergeCell ref="C80:M80"/>
    <mergeCell ref="C75:M75"/>
    <mergeCell ref="C76:M76"/>
    <mergeCell ref="C77:M77"/>
    <mergeCell ref="C78:M78"/>
    <mergeCell ref="C74:M74"/>
    <mergeCell ref="C70:M70"/>
    <mergeCell ref="A72:E72"/>
    <mergeCell ref="C73:M73"/>
    <mergeCell ref="C64:M64"/>
    <mergeCell ref="C65:M65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2012-08-29T13:38:04Z</cp:lastPrinted>
  <dcterms:created xsi:type="dcterms:W3CDTF">1997-12-04T19:04:30Z</dcterms:created>
  <dcterms:modified xsi:type="dcterms:W3CDTF">2012-11-21T15:15:35Z</dcterms:modified>
</cp:coreProperties>
</file>