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120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6" i="1" l="1"/>
  <c r="F520" i="1" l="1"/>
  <c r="G199" i="1"/>
  <c r="I197" i="1"/>
  <c r="H197" i="1"/>
  <c r="F197" i="1"/>
  <c r="F2" i="11"/>
  <c r="B2" i="10"/>
  <c r="C5" i="10"/>
  <c r="C6" i="10"/>
  <c r="C37" i="10"/>
  <c r="C40" i="10"/>
  <c r="C42" i="10"/>
  <c r="F19" i="1"/>
  <c r="G616" i="1"/>
  <c r="G19" i="1"/>
  <c r="G617" i="1"/>
  <c r="H19" i="1"/>
  <c r="G618" i="1"/>
  <c r="J618" i="1" s="1"/>
  <c r="I19" i="1"/>
  <c r="F32" i="1"/>
  <c r="G32" i="1"/>
  <c r="H32" i="1"/>
  <c r="I32" i="1"/>
  <c r="F50" i="1"/>
  <c r="G50" i="1"/>
  <c r="G622" i="1"/>
  <c r="H50" i="1"/>
  <c r="I50" i="1"/>
  <c r="H51" i="1"/>
  <c r="H618" i="1"/>
  <c r="F59" i="1"/>
  <c r="G59" i="1"/>
  <c r="H59" i="1"/>
  <c r="I59" i="1"/>
  <c r="J59" i="1"/>
  <c r="F78" i="1"/>
  <c r="H78" i="1"/>
  <c r="F93" i="1"/>
  <c r="H93" i="1"/>
  <c r="F110" i="1"/>
  <c r="G110" i="1"/>
  <c r="H110" i="1"/>
  <c r="I110" i="1"/>
  <c r="I111" i="1"/>
  <c r="H111" i="1"/>
  <c r="F120" i="1"/>
  <c r="F139" i="1" s="1"/>
  <c r="C38" i="10" s="1"/>
  <c r="G120" i="1"/>
  <c r="H120" i="1"/>
  <c r="I120" i="1"/>
  <c r="J120" i="1"/>
  <c r="F135" i="1"/>
  <c r="G135" i="1"/>
  <c r="G139" i="1"/>
  <c r="H135" i="1"/>
  <c r="I135" i="1"/>
  <c r="J135" i="1"/>
  <c r="H139" i="1"/>
  <c r="I139" i="1"/>
  <c r="F146" i="1"/>
  <c r="F168" i="1" s="1"/>
  <c r="G146" i="1"/>
  <c r="D84" i="2"/>
  <c r="H146" i="1"/>
  <c r="I146" i="1"/>
  <c r="F161" i="1"/>
  <c r="G161" i="1"/>
  <c r="H161" i="1"/>
  <c r="I161" i="1"/>
  <c r="G168" i="1"/>
  <c r="H168" i="1"/>
  <c r="I168" i="1"/>
  <c r="F176" i="1"/>
  <c r="F191" i="1" s="1"/>
  <c r="I176" i="1"/>
  <c r="F182" i="1"/>
  <c r="G182" i="1"/>
  <c r="G191" i="1" s="1"/>
  <c r="H182" i="1"/>
  <c r="I182" i="1"/>
  <c r="J182" i="1"/>
  <c r="F187" i="1"/>
  <c r="G187" i="1"/>
  <c r="H187" i="1"/>
  <c r="I187" i="1"/>
  <c r="H191" i="1"/>
  <c r="L196" i="1"/>
  <c r="L198" i="1"/>
  <c r="F199" i="1"/>
  <c r="F210" i="1" s="1"/>
  <c r="G210" i="1"/>
  <c r="H199" i="1"/>
  <c r="J210" i="1"/>
  <c r="J256" i="1" s="1"/>
  <c r="L199" i="1"/>
  <c r="C13" i="10" s="1"/>
  <c r="L202" i="1"/>
  <c r="C118" i="2" s="1"/>
  <c r="L203" i="1"/>
  <c r="C17" i="10" s="1"/>
  <c r="L206" i="1"/>
  <c r="C20" i="10" s="1"/>
  <c r="L207" i="1"/>
  <c r="L208" i="1"/>
  <c r="K210" i="1"/>
  <c r="L214" i="1"/>
  <c r="L215" i="1"/>
  <c r="L216" i="1"/>
  <c r="C12" i="10" s="1"/>
  <c r="L217" i="1"/>
  <c r="L219" i="1"/>
  <c r="L220" i="1"/>
  <c r="L221" i="1"/>
  <c r="L222" i="1"/>
  <c r="L223" i="1"/>
  <c r="L224" i="1"/>
  <c r="L225" i="1"/>
  <c r="L226" i="1"/>
  <c r="F228" i="1"/>
  <c r="G228" i="1"/>
  <c r="H228" i="1"/>
  <c r="I228" i="1"/>
  <c r="J228" i="1"/>
  <c r="K228" i="1"/>
  <c r="L232" i="1"/>
  <c r="L233" i="1"/>
  <c r="L234" i="1"/>
  <c r="L235" i="1"/>
  <c r="L237" i="1"/>
  <c r="L238" i="1"/>
  <c r="L239" i="1"/>
  <c r="L240" i="1"/>
  <c r="L241" i="1"/>
  <c r="L242" i="1"/>
  <c r="L243" i="1"/>
  <c r="L244" i="1"/>
  <c r="F246" i="1"/>
  <c r="G246" i="1"/>
  <c r="I246" i="1"/>
  <c r="J246" i="1"/>
  <c r="K246" i="1"/>
  <c r="L249" i="1"/>
  <c r="C23" i="10" s="1"/>
  <c r="L250" i="1"/>
  <c r="L251" i="1"/>
  <c r="L252" i="1"/>
  <c r="L253" i="1"/>
  <c r="L254" i="1"/>
  <c r="F255" i="1"/>
  <c r="G255" i="1"/>
  <c r="L255" i="1" s="1"/>
  <c r="H255" i="1"/>
  <c r="I255" i="1"/>
  <c r="J255" i="1"/>
  <c r="K255" i="1"/>
  <c r="L259" i="1"/>
  <c r="L260" i="1"/>
  <c r="C25" i="10" s="1"/>
  <c r="L262" i="1"/>
  <c r="L263" i="1"/>
  <c r="L264" i="1"/>
  <c r="L265" i="1"/>
  <c r="L267" i="1"/>
  <c r="L268" i="1"/>
  <c r="F269" i="1"/>
  <c r="G269" i="1"/>
  <c r="H269" i="1"/>
  <c r="I269" i="1"/>
  <c r="J269" i="1"/>
  <c r="K269" i="1"/>
  <c r="L275" i="1"/>
  <c r="L276" i="1"/>
  <c r="L277" i="1"/>
  <c r="L278" i="1"/>
  <c r="L280" i="1"/>
  <c r="L281" i="1"/>
  <c r="L282" i="1"/>
  <c r="L283" i="1"/>
  <c r="L284" i="1"/>
  <c r="L285" i="1"/>
  <c r="L286" i="1"/>
  <c r="F661" i="1" s="1"/>
  <c r="L287" i="1"/>
  <c r="F289" i="1"/>
  <c r="G289" i="1"/>
  <c r="H289" i="1"/>
  <c r="I289" i="1"/>
  <c r="J289" i="1"/>
  <c r="K289" i="1"/>
  <c r="L289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F308" i="1"/>
  <c r="G308" i="1"/>
  <c r="H308" i="1"/>
  <c r="H337" i="1" s="1"/>
  <c r="H351" i="1" s="1"/>
  <c r="I308" i="1"/>
  <c r="J308" i="1"/>
  <c r="K308" i="1"/>
  <c r="L313" i="1"/>
  <c r="L314" i="1"/>
  <c r="L315" i="1"/>
  <c r="L316" i="1"/>
  <c r="L318" i="1"/>
  <c r="L319" i="1"/>
  <c r="E118" i="2" s="1"/>
  <c r="L320" i="1"/>
  <c r="L321" i="1"/>
  <c r="E120" i="2" s="1"/>
  <c r="L322" i="1"/>
  <c r="L323" i="1"/>
  <c r="L324" i="1"/>
  <c r="H661" i="1" s="1"/>
  <c r="L325" i="1"/>
  <c r="F327" i="1"/>
  <c r="G327" i="1"/>
  <c r="H327" i="1"/>
  <c r="I327" i="1"/>
  <c r="J327" i="1"/>
  <c r="K327" i="1"/>
  <c r="G31" i="13"/>
  <c r="L331" i="1"/>
  <c r="L332" i="1"/>
  <c r="L333" i="1"/>
  <c r="L334" i="1"/>
  <c r="L335" i="1"/>
  <c r="F336" i="1"/>
  <c r="G336" i="1"/>
  <c r="H336" i="1"/>
  <c r="I336" i="1"/>
  <c r="J336" i="1"/>
  <c r="K336" i="1"/>
  <c r="G337" i="1"/>
  <c r="K337" i="1"/>
  <c r="L340" i="1"/>
  <c r="L341" i="1"/>
  <c r="L343" i="1"/>
  <c r="L344" i="1"/>
  <c r="L345" i="1"/>
  <c r="L346" i="1"/>
  <c r="L348" i="1"/>
  <c r="L349" i="1"/>
  <c r="K350" i="1"/>
  <c r="K351" i="1" s="1"/>
  <c r="G351" i="1"/>
  <c r="L358" i="1"/>
  <c r="L359" i="1"/>
  <c r="L360" i="1"/>
  <c r="F361" i="1"/>
  <c r="H361" i="1"/>
  <c r="I361" i="1"/>
  <c r="G633" i="1" s="1"/>
  <c r="J633" i="1" s="1"/>
  <c r="J361" i="1"/>
  <c r="K361" i="1"/>
  <c r="I366" i="1"/>
  <c r="I368" i="1" s="1"/>
  <c r="H633" i="1" s="1"/>
  <c r="I367" i="1"/>
  <c r="F368" i="1"/>
  <c r="G368" i="1"/>
  <c r="H368" i="1"/>
  <c r="L373" i="1"/>
  <c r="C29" i="10" s="1"/>
  <c r="L374" i="1"/>
  <c r="L375" i="1"/>
  <c r="L376" i="1"/>
  <c r="L377" i="1"/>
  <c r="L378" i="1"/>
  <c r="L379" i="1"/>
  <c r="L380" i="1"/>
  <c r="F381" i="1"/>
  <c r="G381" i="1"/>
  <c r="H381" i="1"/>
  <c r="I381" i="1"/>
  <c r="J381" i="1"/>
  <c r="K381" i="1"/>
  <c r="L386" i="1"/>
  <c r="L387" i="1"/>
  <c r="L388" i="1"/>
  <c r="L389" i="1"/>
  <c r="L390" i="1"/>
  <c r="L392" i="1" s="1"/>
  <c r="L391" i="1"/>
  <c r="F392" i="1"/>
  <c r="F407" i="1" s="1"/>
  <c r="H642" i="1" s="1"/>
  <c r="G392" i="1"/>
  <c r="H392" i="1"/>
  <c r="I392" i="1"/>
  <c r="L394" i="1"/>
  <c r="L400" i="1" s="1"/>
  <c r="C138" i="2" s="1"/>
  <c r="L395" i="1"/>
  <c r="L396" i="1"/>
  <c r="L397" i="1"/>
  <c r="L398" i="1"/>
  <c r="L399" i="1"/>
  <c r="F400" i="1"/>
  <c r="G400" i="1"/>
  <c r="H400" i="1"/>
  <c r="H407" i="1" s="1"/>
  <c r="H643" i="1" s="1"/>
  <c r="I400" i="1"/>
  <c r="L402" i="1"/>
  <c r="L403" i="1"/>
  <c r="L404" i="1"/>
  <c r="L405" i="1"/>
  <c r="F406" i="1"/>
  <c r="G406" i="1"/>
  <c r="H406" i="1"/>
  <c r="I406" i="1"/>
  <c r="G407" i="1"/>
  <c r="L412" i="1"/>
  <c r="L413" i="1"/>
  <c r="L414" i="1"/>
  <c r="L415" i="1"/>
  <c r="L416" i="1"/>
  <c r="L418" i="1" s="1"/>
  <c r="L417" i="1"/>
  <c r="F418" i="1"/>
  <c r="G418" i="1"/>
  <c r="H418" i="1"/>
  <c r="I418" i="1"/>
  <c r="J418" i="1"/>
  <c r="K418" i="1"/>
  <c r="K433" i="1" s="1"/>
  <c r="G133" i="2" s="1"/>
  <c r="G143" i="2" s="1"/>
  <c r="L420" i="1"/>
  <c r="L421" i="1"/>
  <c r="L422" i="1"/>
  <c r="L423" i="1"/>
  <c r="L424" i="1"/>
  <c r="L425" i="1"/>
  <c r="F426" i="1"/>
  <c r="G426" i="1"/>
  <c r="G433" i="1" s="1"/>
  <c r="H426" i="1"/>
  <c r="I426" i="1"/>
  <c r="I433" i="1" s="1"/>
  <c r="J426" i="1"/>
  <c r="K426" i="1"/>
  <c r="L426" i="1"/>
  <c r="L428" i="1"/>
  <c r="L429" i="1"/>
  <c r="L432" i="1" s="1"/>
  <c r="L430" i="1"/>
  <c r="L431" i="1"/>
  <c r="F432" i="1"/>
  <c r="G432" i="1"/>
  <c r="H432" i="1"/>
  <c r="I432" i="1"/>
  <c r="J432" i="1"/>
  <c r="J433" i="1" s="1"/>
  <c r="K432" i="1"/>
  <c r="F433" i="1"/>
  <c r="I438" i="1"/>
  <c r="I445" i="1" s="1"/>
  <c r="G641" i="1" s="1"/>
  <c r="I439" i="1"/>
  <c r="J10" i="1" s="1"/>
  <c r="G9" i="2" s="1"/>
  <c r="I440" i="1"/>
  <c r="J12" i="1" s="1"/>
  <c r="G11" i="2" s="1"/>
  <c r="I441" i="1"/>
  <c r="J13" i="1"/>
  <c r="I442" i="1"/>
  <c r="J14" i="1"/>
  <c r="G13" i="2" s="1"/>
  <c r="I443" i="1"/>
  <c r="J17" i="1" s="1"/>
  <c r="G16" i="2" s="1"/>
  <c r="I444" i="1"/>
  <c r="J18" i="1" s="1"/>
  <c r="G17" i="2" s="1"/>
  <c r="F445" i="1"/>
  <c r="G638" i="1" s="1"/>
  <c r="G445" i="1"/>
  <c r="G639" i="1" s="1"/>
  <c r="H445" i="1"/>
  <c r="I447" i="1"/>
  <c r="I448" i="1"/>
  <c r="J23" i="1" s="1"/>
  <c r="G22" i="2" s="1"/>
  <c r="I449" i="1"/>
  <c r="J24" i="1" s="1"/>
  <c r="G23" i="2" s="1"/>
  <c r="I450" i="1"/>
  <c r="J31" i="1" s="1"/>
  <c r="G30" i="2" s="1"/>
  <c r="F451" i="1"/>
  <c r="G451" i="1"/>
  <c r="H451" i="1"/>
  <c r="I453" i="1"/>
  <c r="J48" i="1" s="1"/>
  <c r="G47" i="2" s="1"/>
  <c r="I454" i="1"/>
  <c r="J45" i="1"/>
  <c r="I455" i="1"/>
  <c r="J43" i="1"/>
  <c r="I456" i="1"/>
  <c r="J37" i="1" s="1"/>
  <c r="I457" i="1"/>
  <c r="J39" i="1" s="1"/>
  <c r="G38" i="2" s="1"/>
  <c r="I458" i="1"/>
  <c r="I459" i="1"/>
  <c r="J47" i="1"/>
  <c r="F459" i="1"/>
  <c r="F460" i="1"/>
  <c r="H638" i="1" s="1"/>
  <c r="G459" i="1"/>
  <c r="G460" i="1" s="1"/>
  <c r="H639" i="1" s="1"/>
  <c r="H459" i="1"/>
  <c r="H460" i="1"/>
  <c r="H640" i="1" s="1"/>
  <c r="F469" i="1"/>
  <c r="F475" i="1" s="1"/>
  <c r="H621" i="1" s="1"/>
  <c r="G469" i="1"/>
  <c r="H469" i="1"/>
  <c r="I469" i="1"/>
  <c r="I475" i="1"/>
  <c r="J469" i="1"/>
  <c r="F473" i="1"/>
  <c r="G473" i="1"/>
  <c r="G475" i="1"/>
  <c r="H622" i="1" s="1"/>
  <c r="H473" i="1"/>
  <c r="I473" i="1"/>
  <c r="J473" i="1"/>
  <c r="J475" i="1" s="1"/>
  <c r="H625" i="1" s="1"/>
  <c r="K494" i="1"/>
  <c r="K495" i="1"/>
  <c r="K496" i="1"/>
  <c r="K497" i="1"/>
  <c r="K498" i="1"/>
  <c r="F499" i="1"/>
  <c r="G499" i="1"/>
  <c r="H499" i="1"/>
  <c r="I499" i="1"/>
  <c r="J499" i="1"/>
  <c r="K500" i="1"/>
  <c r="K501" i="1"/>
  <c r="F502" i="1"/>
  <c r="G502" i="1"/>
  <c r="H502" i="1"/>
  <c r="I502" i="1"/>
  <c r="J502" i="1"/>
  <c r="F516" i="1"/>
  <c r="G516" i="1"/>
  <c r="H516" i="1"/>
  <c r="I516" i="1"/>
  <c r="G523" i="1"/>
  <c r="H523" i="1"/>
  <c r="L520" i="1"/>
  <c r="F548" i="1" s="1"/>
  <c r="L521" i="1"/>
  <c r="L522" i="1"/>
  <c r="F550" i="1"/>
  <c r="F523" i="1"/>
  <c r="I523" i="1"/>
  <c r="J523" i="1"/>
  <c r="K523" i="1"/>
  <c r="F525" i="1"/>
  <c r="F528" i="1"/>
  <c r="H525" i="1"/>
  <c r="L525" i="1"/>
  <c r="G548" i="1" s="1"/>
  <c r="G551" i="1" s="1"/>
  <c r="L526" i="1"/>
  <c r="G549" i="1"/>
  <c r="L527" i="1"/>
  <c r="G528" i="1"/>
  <c r="G544" i="1" s="1"/>
  <c r="H528" i="1"/>
  <c r="I528" i="1"/>
  <c r="J528" i="1"/>
  <c r="K528" i="1"/>
  <c r="L530" i="1"/>
  <c r="L531" i="1"/>
  <c r="L532" i="1"/>
  <c r="H550" i="1" s="1"/>
  <c r="F533" i="1"/>
  <c r="F544" i="1" s="1"/>
  <c r="G533" i="1"/>
  <c r="H533" i="1"/>
  <c r="I533" i="1"/>
  <c r="J533" i="1"/>
  <c r="K533" i="1"/>
  <c r="L535" i="1"/>
  <c r="L536" i="1"/>
  <c r="L537" i="1"/>
  <c r="F538" i="1"/>
  <c r="G538" i="1"/>
  <c r="H538" i="1"/>
  <c r="I538" i="1"/>
  <c r="J538" i="1"/>
  <c r="K538" i="1"/>
  <c r="L540" i="1"/>
  <c r="L541" i="1"/>
  <c r="J549" i="1" s="1"/>
  <c r="L542" i="1"/>
  <c r="J550" i="1"/>
  <c r="F543" i="1"/>
  <c r="G543" i="1"/>
  <c r="H543" i="1"/>
  <c r="H544" i="1"/>
  <c r="I543" i="1"/>
  <c r="J543" i="1"/>
  <c r="K543" i="1"/>
  <c r="K544" i="1"/>
  <c r="H548" i="1"/>
  <c r="F549" i="1"/>
  <c r="H549" i="1"/>
  <c r="K549" i="1" s="1"/>
  <c r="I549" i="1"/>
  <c r="G550" i="1"/>
  <c r="I550" i="1"/>
  <c r="L556" i="1"/>
  <c r="L557" i="1"/>
  <c r="L558" i="1"/>
  <c r="F559" i="1"/>
  <c r="G559" i="1"/>
  <c r="G570" i="1" s="1"/>
  <c r="H559" i="1"/>
  <c r="I559" i="1"/>
  <c r="J559" i="1"/>
  <c r="K559" i="1"/>
  <c r="L559" i="1"/>
  <c r="L561" i="1"/>
  <c r="L562" i="1"/>
  <c r="L563" i="1"/>
  <c r="L564" i="1" s="1"/>
  <c r="F564" i="1"/>
  <c r="G564" i="1"/>
  <c r="H564" i="1"/>
  <c r="H570" i="1" s="1"/>
  <c r="I564" i="1"/>
  <c r="J564" i="1"/>
  <c r="J570" i="1" s="1"/>
  <c r="K564" i="1"/>
  <c r="K570" i="1"/>
  <c r="L566" i="1"/>
  <c r="L567" i="1"/>
  <c r="L568" i="1"/>
  <c r="L569" i="1"/>
  <c r="F569" i="1"/>
  <c r="G569" i="1"/>
  <c r="H569" i="1"/>
  <c r="I569" i="1"/>
  <c r="I570" i="1" s="1"/>
  <c r="J569" i="1"/>
  <c r="K569" i="1"/>
  <c r="F570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4" i="1" s="1"/>
  <c r="G647" i="1" s="1"/>
  <c r="K602" i="1"/>
  <c r="K603" i="1"/>
  <c r="H604" i="1"/>
  <c r="I604" i="1"/>
  <c r="J604" i="1"/>
  <c r="L610" i="1"/>
  <c r="L611" i="1"/>
  <c r="L612" i="1"/>
  <c r="F613" i="1"/>
  <c r="G613" i="1"/>
  <c r="H613" i="1"/>
  <c r="I613" i="1"/>
  <c r="J613" i="1"/>
  <c r="K613" i="1"/>
  <c r="L613" i="1"/>
  <c r="G619" i="1"/>
  <c r="G621" i="1"/>
  <c r="G623" i="1"/>
  <c r="H624" i="1"/>
  <c r="H626" i="1"/>
  <c r="H627" i="1"/>
  <c r="H628" i="1"/>
  <c r="H629" i="1"/>
  <c r="H630" i="1"/>
  <c r="H631" i="1"/>
  <c r="H632" i="1"/>
  <c r="H634" i="1"/>
  <c r="H635" i="1"/>
  <c r="H636" i="1"/>
  <c r="H637" i="1"/>
  <c r="G640" i="1"/>
  <c r="J640" i="1" s="1"/>
  <c r="G642" i="1"/>
  <c r="H644" i="1"/>
  <c r="H646" i="1"/>
  <c r="G648" i="1"/>
  <c r="J648" i="1" s="1"/>
  <c r="G649" i="1"/>
  <c r="H649" i="1"/>
  <c r="J649" i="1"/>
  <c r="G651" i="1"/>
  <c r="H651" i="1"/>
  <c r="J651" i="1" s="1"/>
  <c r="G652" i="1"/>
  <c r="H652" i="1"/>
  <c r="J652" i="1"/>
  <c r="G653" i="1"/>
  <c r="J653" i="1"/>
  <c r="H653" i="1"/>
  <c r="G654" i="1"/>
  <c r="J654" i="1" s="1"/>
  <c r="H654" i="1"/>
  <c r="G661" i="1"/>
  <c r="F662" i="1"/>
  <c r="G662" i="1"/>
  <c r="I664" i="1"/>
  <c r="I668" i="1"/>
  <c r="I669" i="1"/>
  <c r="B2" i="13"/>
  <c r="F5" i="13"/>
  <c r="G5" i="13"/>
  <c r="F6" i="13"/>
  <c r="G6" i="13"/>
  <c r="F7" i="13"/>
  <c r="G7" i="13"/>
  <c r="F8" i="13"/>
  <c r="G8" i="13"/>
  <c r="C9" i="13"/>
  <c r="C10" i="13"/>
  <c r="C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D17" i="13" s="1"/>
  <c r="C17" i="13" s="1"/>
  <c r="F18" i="13"/>
  <c r="D18" i="13" s="1"/>
  <c r="C18" i="13" s="1"/>
  <c r="G18" i="13"/>
  <c r="F19" i="13"/>
  <c r="G19" i="13"/>
  <c r="D19" i="13" s="1"/>
  <c r="C19" i="13" s="1"/>
  <c r="F22" i="13"/>
  <c r="C22" i="13" s="1"/>
  <c r="F29" i="13"/>
  <c r="G29" i="13"/>
  <c r="F31" i="13"/>
  <c r="D39" i="13"/>
  <c r="A1" i="2"/>
  <c r="A2" i="2"/>
  <c r="C8" i="2"/>
  <c r="D8" i="2"/>
  <c r="E8" i="2"/>
  <c r="F8" i="2"/>
  <c r="C9" i="2"/>
  <c r="D9" i="2"/>
  <c r="E9" i="2"/>
  <c r="F9" i="2"/>
  <c r="C10" i="2"/>
  <c r="C11" i="2"/>
  <c r="D11" i="2"/>
  <c r="E11" i="2"/>
  <c r="F11" i="2"/>
  <c r="C12" i="2"/>
  <c r="D12" i="2"/>
  <c r="E12" i="2"/>
  <c r="F12" i="2"/>
  <c r="G12" i="2"/>
  <c r="C13" i="2"/>
  <c r="D13" i="2"/>
  <c r="E13" i="2"/>
  <c r="F13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21" i="2"/>
  <c r="C31" i="2" s="1"/>
  <c r="D21" i="2"/>
  <c r="D31" i="2" s="1"/>
  <c r="E21" i="2"/>
  <c r="E31" i="2" s="1"/>
  <c r="F21" i="2"/>
  <c r="F31" i="2" s="1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4" i="2"/>
  <c r="D34" i="2"/>
  <c r="E34" i="2"/>
  <c r="F34" i="2"/>
  <c r="F49" i="2" s="1"/>
  <c r="F50" i="2" s="1"/>
  <c r="C35" i="2"/>
  <c r="D35" i="2"/>
  <c r="D49" i="2" s="1"/>
  <c r="E35" i="2"/>
  <c r="F35" i="2"/>
  <c r="C36" i="2"/>
  <c r="D36" i="2"/>
  <c r="E36" i="2"/>
  <c r="F36" i="2"/>
  <c r="C38" i="2"/>
  <c r="D38" i="2"/>
  <c r="E38" i="2"/>
  <c r="F38" i="2"/>
  <c r="D39" i="2"/>
  <c r="F40" i="2"/>
  <c r="C42" i="2"/>
  <c r="D42" i="2"/>
  <c r="E42" i="2"/>
  <c r="F42" i="2"/>
  <c r="G42" i="2"/>
  <c r="C43" i="2"/>
  <c r="D43" i="2"/>
  <c r="E43" i="2"/>
  <c r="F43" i="2"/>
  <c r="C44" i="2"/>
  <c r="D44" i="2"/>
  <c r="E44" i="2"/>
  <c r="F44" i="2"/>
  <c r="G44" i="2"/>
  <c r="C46" i="2"/>
  <c r="D46" i="2"/>
  <c r="E46" i="2"/>
  <c r="F46" i="2"/>
  <c r="C47" i="2"/>
  <c r="D47" i="2"/>
  <c r="E47" i="2"/>
  <c r="F47" i="2"/>
  <c r="C48" i="2"/>
  <c r="E49" i="2"/>
  <c r="E50" i="2" s="1"/>
  <c r="C55" i="2"/>
  <c r="D55" i="2"/>
  <c r="E55" i="2"/>
  <c r="F55" i="2"/>
  <c r="G55" i="2"/>
  <c r="C56" i="2"/>
  <c r="E56" i="2"/>
  <c r="C57" i="2"/>
  <c r="E57" i="2"/>
  <c r="C58" i="2"/>
  <c r="D58" i="2"/>
  <c r="E58" i="2"/>
  <c r="F58" i="2"/>
  <c r="G58" i="2"/>
  <c r="D59" i="2"/>
  <c r="D61" i="2"/>
  <c r="D62" i="2" s="1"/>
  <c r="C60" i="2"/>
  <c r="D60" i="2"/>
  <c r="E60" i="2"/>
  <c r="E61" i="2" s="1"/>
  <c r="F60" i="2"/>
  <c r="G60" i="2"/>
  <c r="G61" i="2" s="1"/>
  <c r="C65" i="2"/>
  <c r="C66" i="2"/>
  <c r="C67" i="2"/>
  <c r="C68" i="2"/>
  <c r="C69" i="2" s="1"/>
  <c r="D68" i="2"/>
  <c r="D69" i="2"/>
  <c r="E68" i="2"/>
  <c r="F68" i="2"/>
  <c r="F69" i="2" s="1"/>
  <c r="G68" i="2"/>
  <c r="E69" i="2"/>
  <c r="G69" i="2"/>
  <c r="C71" i="2"/>
  <c r="F71" i="2"/>
  <c r="C72" i="2"/>
  <c r="F72" i="2"/>
  <c r="C73" i="2"/>
  <c r="C74" i="2"/>
  <c r="C75" i="2"/>
  <c r="E75" i="2"/>
  <c r="F75" i="2"/>
  <c r="C76" i="2"/>
  <c r="C77" i="2" s="1"/>
  <c r="D76" i="2"/>
  <c r="D77" i="2"/>
  <c r="D80" i="2" s="1"/>
  <c r="E76" i="2"/>
  <c r="F76" i="2"/>
  <c r="G76" i="2"/>
  <c r="G77" i="2" s="1"/>
  <c r="G80" i="2" s="1"/>
  <c r="F77" i="2"/>
  <c r="F80" i="2"/>
  <c r="C78" i="2"/>
  <c r="D78" i="2"/>
  <c r="E78" i="2"/>
  <c r="C79" i="2"/>
  <c r="E79" i="2"/>
  <c r="C84" i="2"/>
  <c r="E84" i="2"/>
  <c r="F84" i="2"/>
  <c r="C86" i="2"/>
  <c r="E86" i="2"/>
  <c r="E90" i="2" s="1"/>
  <c r="F86" i="2"/>
  <c r="C87" i="2"/>
  <c r="D87" i="2"/>
  <c r="E87" i="2"/>
  <c r="F87" i="2"/>
  <c r="C88" i="2"/>
  <c r="D88" i="2"/>
  <c r="D90" i="2" s="1"/>
  <c r="E88" i="2"/>
  <c r="F88" i="2"/>
  <c r="C89" i="2"/>
  <c r="C90" i="2"/>
  <c r="C92" i="2"/>
  <c r="F92" i="2"/>
  <c r="C93" i="2"/>
  <c r="F93" i="2"/>
  <c r="F102" i="2" s="1"/>
  <c r="F103" i="2" s="1"/>
  <c r="D95" i="2"/>
  <c r="E95" i="2"/>
  <c r="F95" i="2"/>
  <c r="G95" i="2"/>
  <c r="G102" i="2" s="1"/>
  <c r="C96" i="2"/>
  <c r="D96" i="2"/>
  <c r="D102" i="2" s="1"/>
  <c r="E96" i="2"/>
  <c r="F96" i="2"/>
  <c r="G96" i="2"/>
  <c r="C97" i="2"/>
  <c r="D97" i="2"/>
  <c r="E97" i="2"/>
  <c r="E102" i="2" s="1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E108" i="2"/>
  <c r="E114" i="2" s="1"/>
  <c r="E109" i="2"/>
  <c r="C110" i="2"/>
  <c r="E110" i="2"/>
  <c r="E111" i="2"/>
  <c r="E112" i="2"/>
  <c r="C113" i="2"/>
  <c r="E113" i="2"/>
  <c r="D114" i="2"/>
  <c r="F114" i="2"/>
  <c r="G114" i="2"/>
  <c r="E117" i="2"/>
  <c r="E119" i="2"/>
  <c r="E121" i="2"/>
  <c r="E122" i="2"/>
  <c r="E127" i="2" s="1"/>
  <c r="E123" i="2"/>
  <c r="C124" i="2"/>
  <c r="E124" i="2"/>
  <c r="F127" i="2"/>
  <c r="G127" i="2"/>
  <c r="C129" i="2"/>
  <c r="E129" i="2"/>
  <c r="F129" i="2"/>
  <c r="F143" i="2" s="1"/>
  <c r="F144" i="2" s="1"/>
  <c r="C130" i="2"/>
  <c r="E130" i="2"/>
  <c r="C131" i="2"/>
  <c r="E131" i="2"/>
  <c r="D133" i="2"/>
  <c r="E133" i="2"/>
  <c r="F133" i="2"/>
  <c r="C134" i="2"/>
  <c r="E134" i="2"/>
  <c r="E143" i="2" s="1"/>
  <c r="C135" i="2"/>
  <c r="C136" i="2"/>
  <c r="E136" i="2"/>
  <c r="C141" i="2"/>
  <c r="E141" i="2"/>
  <c r="C142" i="2"/>
  <c r="E142" i="2"/>
  <c r="D143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B156" i="2"/>
  <c r="C156" i="2"/>
  <c r="D156" i="2"/>
  <c r="E156" i="2"/>
  <c r="F156" i="2"/>
  <c r="G156" i="2"/>
  <c r="B157" i="2"/>
  <c r="C157" i="2"/>
  <c r="G157" i="2" s="1"/>
  <c r="D157" i="2"/>
  <c r="E157" i="2"/>
  <c r="F157" i="2"/>
  <c r="B158" i="2"/>
  <c r="C158" i="2"/>
  <c r="D158" i="2"/>
  <c r="E158" i="2"/>
  <c r="F158" i="2"/>
  <c r="G158" i="2"/>
  <c r="B159" i="2"/>
  <c r="C159" i="2"/>
  <c r="G159" i="2" s="1"/>
  <c r="D159" i="2"/>
  <c r="E159" i="2"/>
  <c r="F159" i="2"/>
  <c r="B160" i="2"/>
  <c r="C160" i="2"/>
  <c r="D160" i="2"/>
  <c r="E160" i="2"/>
  <c r="F160" i="2"/>
  <c r="G160" i="2"/>
  <c r="B161" i="2"/>
  <c r="C161" i="2"/>
  <c r="G161" i="2" s="1"/>
  <c r="D161" i="2"/>
  <c r="E161" i="2"/>
  <c r="F161" i="2"/>
  <c r="B162" i="2"/>
  <c r="C162" i="2"/>
  <c r="D162" i="2"/>
  <c r="E162" i="2"/>
  <c r="F162" i="2"/>
  <c r="G162" i="2"/>
  <c r="B163" i="2"/>
  <c r="C163" i="2"/>
  <c r="G163" i="2" s="1"/>
  <c r="D163" i="2"/>
  <c r="E163" i="2"/>
  <c r="F163" i="2"/>
  <c r="B1" i="12"/>
  <c r="B4" i="12"/>
  <c r="C9" i="12"/>
  <c r="B13" i="12"/>
  <c r="C13" i="12"/>
  <c r="B18" i="12"/>
  <c r="C18" i="12"/>
  <c r="C22" i="12"/>
  <c r="B22" i="12"/>
  <c r="B27" i="12"/>
  <c r="A31" i="12" s="1"/>
  <c r="C27" i="12"/>
  <c r="B31" i="12"/>
  <c r="C31" i="12"/>
  <c r="B36" i="12"/>
  <c r="C36" i="12"/>
  <c r="B37" i="12"/>
  <c r="C40" i="12"/>
  <c r="B38" i="12"/>
  <c r="B39" i="12"/>
  <c r="B40" i="12"/>
  <c r="A40" i="12" s="1"/>
  <c r="F90" i="2"/>
  <c r="F61" i="2"/>
  <c r="F62" i="2"/>
  <c r="K256" i="1"/>
  <c r="K270" i="1"/>
  <c r="I210" i="1"/>
  <c r="I256" i="1"/>
  <c r="I270" i="1" s="1"/>
  <c r="I191" i="1"/>
  <c r="I192" i="1" s="1"/>
  <c r="G629" i="1" s="1"/>
  <c r="J629" i="1" s="1"/>
  <c r="B9" i="12"/>
  <c r="E77" i="2"/>
  <c r="E80" i="2"/>
  <c r="I548" i="1"/>
  <c r="I551" i="1" s="1"/>
  <c r="L538" i="1"/>
  <c r="J544" i="1"/>
  <c r="K502" i="1"/>
  <c r="J22" i="1"/>
  <c r="I451" i="1"/>
  <c r="I460" i="1" s="1"/>
  <c r="H641" i="1" s="1"/>
  <c r="L357" i="1"/>
  <c r="G660" i="1"/>
  <c r="G361" i="1"/>
  <c r="L350" i="1"/>
  <c r="L336" i="1"/>
  <c r="J337" i="1"/>
  <c r="J351" i="1"/>
  <c r="F337" i="1"/>
  <c r="F351" i="1"/>
  <c r="L269" i="1"/>
  <c r="C32" i="10"/>
  <c r="H25" i="13"/>
  <c r="E16" i="13"/>
  <c r="C16" i="13" s="1"/>
  <c r="E62" i="2"/>
  <c r="E103" i="2" s="1"/>
  <c r="H662" i="1"/>
  <c r="L381" i="1"/>
  <c r="G635" i="1"/>
  <c r="J635" i="1" s="1"/>
  <c r="L228" i="1"/>
  <c r="G659" i="1" s="1"/>
  <c r="H192" i="1"/>
  <c r="G628" i="1" s="1"/>
  <c r="J628" i="1" s="1"/>
  <c r="I51" i="1"/>
  <c r="H619" i="1"/>
  <c r="J619" i="1" s="1"/>
  <c r="G624" i="1"/>
  <c r="J624" i="1"/>
  <c r="L570" i="1"/>
  <c r="J639" i="1"/>
  <c r="C26" i="10"/>
  <c r="J110" i="1"/>
  <c r="J111" i="1" s="1"/>
  <c r="G643" i="1"/>
  <c r="C35" i="10"/>
  <c r="G111" i="1"/>
  <c r="G192" i="1" s="1"/>
  <c r="G627" i="1" s="1"/>
  <c r="J627" i="1" s="1"/>
  <c r="J642" i="1"/>
  <c r="I544" i="1"/>
  <c r="I407" i="1"/>
  <c r="L308" i="1"/>
  <c r="L337" i="1" s="1"/>
  <c r="L351" i="1" s="1"/>
  <c r="G632" i="1" s="1"/>
  <c r="J632" i="1" s="1"/>
  <c r="I337" i="1"/>
  <c r="I351" i="1"/>
  <c r="C24" i="10"/>
  <c r="C21" i="10"/>
  <c r="L205" i="1"/>
  <c r="C121" i="2"/>
  <c r="L197" i="1"/>
  <c r="J139" i="1"/>
  <c r="K499" i="1"/>
  <c r="H475" i="1"/>
  <c r="H623" i="1"/>
  <c r="J623" i="1" s="1"/>
  <c r="H433" i="1"/>
  <c r="L406" i="1"/>
  <c r="C139" i="2" s="1"/>
  <c r="L327" i="1"/>
  <c r="L204" i="1"/>
  <c r="C18" i="10"/>
  <c r="L201" i="1"/>
  <c r="C15" i="10"/>
  <c r="H210" i="1"/>
  <c r="J191" i="1"/>
  <c r="G644" i="1"/>
  <c r="J644" i="1"/>
  <c r="J548" i="1"/>
  <c r="H246" i="1"/>
  <c r="C25" i="13"/>
  <c r="H33" i="13"/>
  <c r="D29" i="13"/>
  <c r="C29" i="13"/>
  <c r="D126" i="2"/>
  <c r="D127" i="2"/>
  <c r="D144" i="2" s="1"/>
  <c r="D31" i="13"/>
  <c r="C31" i="13" s="1"/>
  <c r="J32" i="1"/>
  <c r="G21" i="2"/>
  <c r="G31" i="2"/>
  <c r="A13" i="12"/>
  <c r="A22" i="12"/>
  <c r="G46" i="2"/>
  <c r="K597" i="1"/>
  <c r="G646" i="1" s="1"/>
  <c r="J646" i="1" s="1"/>
  <c r="L543" i="1"/>
  <c r="J551" i="1"/>
  <c r="L523" i="1"/>
  <c r="F551" i="1"/>
  <c r="C137" i="2"/>
  <c r="F51" i="1"/>
  <c r="H616" i="1" s="1"/>
  <c r="J616" i="1" s="1"/>
  <c r="J621" i="1"/>
  <c r="J622" i="1"/>
  <c r="H660" i="1"/>
  <c r="L361" i="1"/>
  <c r="G634" i="1"/>
  <c r="J634" i="1" s="1"/>
  <c r="F660" i="1"/>
  <c r="I660" i="1" s="1"/>
  <c r="C27" i="10"/>
  <c r="C11" i="10"/>
  <c r="C28" i="10" s="1"/>
  <c r="D7" i="13"/>
  <c r="C7" i="13"/>
  <c r="C16" i="10"/>
  <c r="G650" i="1"/>
  <c r="J650" i="1" s="1"/>
  <c r="L246" i="1"/>
  <c r="H659" i="1" s="1"/>
  <c r="H663" i="1" s="1"/>
  <c r="D15" i="13"/>
  <c r="C15" i="13" s="1"/>
  <c r="C123" i="2"/>
  <c r="G256" i="1"/>
  <c r="G270" i="1"/>
  <c r="F256" i="1"/>
  <c r="F270" i="1"/>
  <c r="C119" i="2"/>
  <c r="E8" i="13"/>
  <c r="C8" i="13" s="1"/>
  <c r="G33" i="13"/>
  <c r="F33" i="13"/>
  <c r="D14" i="13"/>
  <c r="C14" i="13" s="1"/>
  <c r="C122" i="2"/>
  <c r="E13" i="13"/>
  <c r="C19" i="10"/>
  <c r="D12" i="13"/>
  <c r="C12" i="13"/>
  <c r="C120" i="2"/>
  <c r="C117" i="2"/>
  <c r="D6" i="13"/>
  <c r="C6" i="13"/>
  <c r="C111" i="2"/>
  <c r="J270" i="1"/>
  <c r="H647" i="1"/>
  <c r="C109" i="2"/>
  <c r="D5" i="13"/>
  <c r="C5" i="13"/>
  <c r="H256" i="1"/>
  <c r="H270" i="1"/>
  <c r="C10" i="10"/>
  <c r="C108" i="2"/>
  <c r="L210" i="1"/>
  <c r="C61" i="2"/>
  <c r="C62" i="2"/>
  <c r="F111" i="1"/>
  <c r="G51" i="1"/>
  <c r="H617" i="1"/>
  <c r="J617" i="1" s="1"/>
  <c r="D50" i="2"/>
  <c r="E18" i="2"/>
  <c r="C49" i="2"/>
  <c r="C50" i="2" s="1"/>
  <c r="F18" i="2"/>
  <c r="D18" i="2"/>
  <c r="C18" i="2"/>
  <c r="L256" i="1"/>
  <c r="L270" i="1" s="1"/>
  <c r="G631" i="1" s="1"/>
  <c r="J631" i="1" s="1"/>
  <c r="C127" i="2"/>
  <c r="C13" i="13"/>
  <c r="F659" i="1"/>
  <c r="F663" i="1"/>
  <c r="F671" i="1" s="1"/>
  <c r="C4" i="10" s="1"/>
  <c r="J641" i="1"/>
  <c r="J638" i="1"/>
  <c r="L407" i="1"/>
  <c r="H645" i="1" s="1"/>
  <c r="J643" i="1"/>
  <c r="J9" i="1"/>
  <c r="G8" i="2" s="1"/>
  <c r="G18" i="2" s="1"/>
  <c r="E33" i="13"/>
  <c r="D35" i="13"/>
  <c r="H551" i="1"/>
  <c r="K550" i="1"/>
  <c r="L533" i="1"/>
  <c r="F192" i="1" l="1"/>
  <c r="G626" i="1" s="1"/>
  <c r="J626" i="1" s="1"/>
  <c r="C39" i="10"/>
  <c r="D13" i="10"/>
  <c r="D17" i="10"/>
  <c r="D15" i="10"/>
  <c r="D12" i="10"/>
  <c r="D23" i="10"/>
  <c r="D26" i="10"/>
  <c r="D20" i="10"/>
  <c r="D21" i="10"/>
  <c r="D25" i="10"/>
  <c r="D10" i="10"/>
  <c r="D27" i="10"/>
  <c r="D16" i="10"/>
  <c r="D24" i="10"/>
  <c r="D18" i="10"/>
  <c r="D19" i="10"/>
  <c r="C30" i="10"/>
  <c r="D22" i="10"/>
  <c r="C36" i="10"/>
  <c r="J192" i="1"/>
  <c r="D103" i="2"/>
  <c r="C80" i="2"/>
  <c r="C103" i="2" s="1"/>
  <c r="H671" i="1"/>
  <c r="H666" i="1"/>
  <c r="C143" i="2"/>
  <c r="C140" i="2"/>
  <c r="G663" i="1"/>
  <c r="I659" i="1"/>
  <c r="E144" i="2"/>
  <c r="I662" i="1"/>
  <c r="J647" i="1"/>
  <c r="K548" i="1"/>
  <c r="K551" i="1" s="1"/>
  <c r="I661" i="1"/>
  <c r="J19" i="1"/>
  <c r="G620" i="1" s="1"/>
  <c r="G636" i="1"/>
  <c r="J636" i="1" s="1"/>
  <c r="F666" i="1"/>
  <c r="D11" i="10"/>
  <c r="D33" i="13"/>
  <c r="D36" i="13" s="1"/>
  <c r="G144" i="2"/>
  <c r="G62" i="2"/>
  <c r="G103" i="2" s="1"/>
  <c r="G36" i="2"/>
  <c r="G49" i="2" s="1"/>
  <c r="G50" i="2" s="1"/>
  <c r="J50" i="1"/>
  <c r="L433" i="1"/>
  <c r="G637" i="1" s="1"/>
  <c r="J637" i="1" s="1"/>
  <c r="L528" i="1"/>
  <c r="L544" i="1" s="1"/>
  <c r="C112" i="2"/>
  <c r="C114" i="2" s="1"/>
  <c r="C144" i="2" s="1"/>
  <c r="J51" i="1" l="1"/>
  <c r="H620" i="1" s="1"/>
  <c r="G625" i="1"/>
  <c r="J625" i="1" s="1"/>
  <c r="J620" i="1"/>
  <c r="I663" i="1"/>
  <c r="C41" i="10"/>
  <c r="D36" i="10" s="1"/>
  <c r="D28" i="10"/>
  <c r="G666" i="1"/>
  <c r="G671" i="1"/>
  <c r="G645" i="1"/>
  <c r="J645" i="1" s="1"/>
  <c r="G630" i="1"/>
  <c r="J630" i="1" s="1"/>
  <c r="D37" i="10" l="1"/>
  <c r="D40" i="10"/>
  <c r="D35" i="10"/>
  <c r="D39" i="10"/>
  <c r="D38" i="10"/>
  <c r="I671" i="1"/>
  <c r="C7" i="10" s="1"/>
  <c r="I666" i="1"/>
  <c r="H655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<sst xmlns="http://schemas.openxmlformats.org/spreadsheetml/2006/main" count="3947" uniqueCount="914">
  <si>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</si>
  <si>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</si>
  <si>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</si>
  <si>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</si>
  <si>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</si>
  <si>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</si>
  <si>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</si>
  <si>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</si>
  <si>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</si>
  <si>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</si>
  <si>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</si>
  <si>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</si>
  <si>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</si>
  <si>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</si>
  <si>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</si>
  <si>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</si>
  <si>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</si>
  <si>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</si>
  <si>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</si>
  <si>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</si>
  <si>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</si>
  <si>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</si>
  <si>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</si>
  <si>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</si>
  <si>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</si>
  <si>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</si>
  <si>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</si>
  <si>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</si>
  <si>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</si>
  <si>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</si>
  <si>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</si>
  <si>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</si>
  <si>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</si>
  <si>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</si>
  <si>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</si>
  <si>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</si>
  <si>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</si>
  <si>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</si>
  <si>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</si>
  <si>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</si>
  <si>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</si>
  <si>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</si>
  <si>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</si>
  <si>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</si>
  <si>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</si>
  <si>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</si>
  <si>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</si>
  <si>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</si>
  <si>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</si>
  <si>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</si>
  <si>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</si>
  <si>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</si>
  <si>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</si>
  <si>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</si>
  <si>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</si>
  <si>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</si>
  <si>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</si>
  <si>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</si>
  <si>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</si>
  <si>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</si>
  <si>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</si>
  <si>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</si>
  <si>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</si>
  <si>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</si>
  <si>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</si>
  <si>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</si>
  <si>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</si>
  <si>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</si>
  <si>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</si>
  <si>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</si>
  <si>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</si>
  <si>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</si>
  <si>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</si>
  <si>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</si>
  <si>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</si>
  <si>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</si>
  <si>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</si>
  <si>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</si>
  <si>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</si>
  <si>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</si>
  <si>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</si>
  <si>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</si>
  <si>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</si>
  <si>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</si>
  <si>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</si>
  <si>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</si>
  <si>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</si>
  <si>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</si>
  <si>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</si>
  <si>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</si>
  <si>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</si>
  <si>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</si>
  <si>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</si>
  <si>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</si>
  <si>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</si>
  <si>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</si>
  <si>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</si>
  <si>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</si>
  <si>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</si>
  <si>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</si>
  <si>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</si>
  <si>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</si>
  <si>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</si>
  <si>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</si>
  <si>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</si>
  <si>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</si>
  <si>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</si>
  <si>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</si>
  <si>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</si>
  <si>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</si>
  <si>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</si>
  <si>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</si>
  <si>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</si>
  <si>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</si>
  <si>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</si>
  <si>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</si>
  <si>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</si>
  <si>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</si>
  <si>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</si>
  <si>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</si>
  <si>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</si>
  <si>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</si>
  <si>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</si>
  <si>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</si>
  <si>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</si>
  <si>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</si>
  <si>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</si>
  <si>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</si>
  <si>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</si>
  <si>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</si>
  <si>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</si>
  <si>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</si>
  <si>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</si>
  <si>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</si>
  <si>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</si>
  <si>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</si>
  <si>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</si>
  <si>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</si>
  <si>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</si>
  <si>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</si>
  <si>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</si>
  <si>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</si>
  <si>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</si>
  <si>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</si>
  <si>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</si>
  <si>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</si>
  <si>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</si>
  <si>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</si>
  <si>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</si>
  <si>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</si>
  <si>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</si>
  <si>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</si>
  <si>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</si>
  <si>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</si>
  <si>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</si>
  <si>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</si>
  <si>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</si>
  <si>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</si>
  <si>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</si>
  <si>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</si>
  <si>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</si>
  <si>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</si>
  <si>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</si>
  <si>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</si>
  <si>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</si>
  <si>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</si>
  <si>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</si>
  <si>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</si>
  <si>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</si>
  <si>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</si>
  <si>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</si>
  <si>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</si>
  <si>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</si>
  <si>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</si>
  <si>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</si>
  <si>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</si>
  <si>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</si>
  <si>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</si>
  <si>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</si>
  <si>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</si>
  <si>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</si>
  <si>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</si>
  <si>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</si>
  <si>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</si>
  <si>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</si>
  <si>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</si>
  <si>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</si>
  <si>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</si>
  <si>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</si>
  <si>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</si>
  <si>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</si>
  <si>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</si>
  <si>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</si>
  <si>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</si>
  <si>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</si>
  <si>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</si>
  <si>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</si>
  <si>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</si>
  <si>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</si>
  <si>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</si>
  <si>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</si>
  <si>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</si>
  <si>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</si>
  <si>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</si>
  <si>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</si>
  <si>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</si>
  <si>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</si>
  <si>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</si>
  <si>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</si>
  <si>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</si>
  <si>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</si>
  <si>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</si>
  <si>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</si>
  <si>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</si>
  <si>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</si>
  <si>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</si>
  <si>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</si>
  <si>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</si>
  <si>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</si>
  <si>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</si>
  <si>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</si>
  <si>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</si>
  <si>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</si>
  <si>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</si>
  <si>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</si>
  <si>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</si>
  <si>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</si>
  <si>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</si>
  <si>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</si>
  <si>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</si>
  <si>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</si>
  <si>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</si>
  <si>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</si>
  <si>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</si>
  <si>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</si>
  <si>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</si>
  <si>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</si>
  <si>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</si>
  <si>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</si>
  <si>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</si>
  <si>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</si>
  <si>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</si>
  <si>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</si>
  <si>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</si>
  <si>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</si>
  <si>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</si>
  <si>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</si>
  <si>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</si>
  <si>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</si>
  <si>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</si>
  <si>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</si>
  <si>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</si>
  <si>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</si>
  <si>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</si>
  <si>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</si>
  <si>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</si>
  <si>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</si>
  <si>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</si>
  <si>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</si>
  <si>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</si>
  <si>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</si>
  <si>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</si>
  <si>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</si>
  <si>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</si>
  <si>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</si>
  <si>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</si>
  <si>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</si>
  <si>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</si>
  <si>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</si>
  <si>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</si>
  <si>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</si>
  <si>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</si>
  <si>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</si>
  <si>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</si>
  <si>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</si>
  <si>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</si>
  <si>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</si>
  <si>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</si>
  <si>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</si>
  <si>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</si>
  <si>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</si>
  <si>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</si>
  <si>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</si>
  <si>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</si>
  <si>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</si>
  <si>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</si>
  <si>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</si>
  <si>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</si>
  <si>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</si>
  <si>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</si>
  <si>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</si>
  <si>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</si>
  <si>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</si>
  <si>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</si>
  <si>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</si>
  <si>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</si>
  <si>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</si>
  <si>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</si>
  <si>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</si>
  <si>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</si>
  <si>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</si>
  <si>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</si>
  <si>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</si>
  <si>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</si>
  <si>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</si>
  <si>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</si>
  <si>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</si>
  <si>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</si>
  <si>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</si>
  <si>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</si>
  <si>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</si>
  <si>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</si>
  <si>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</si>
  <si>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</si>
  <si>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</si>
  <si>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</si>
  <si>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</si>
  <si>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</si>
  <si>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</si>
  <si>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</si>
  <si>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</si>
  <si>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</si>
  <si>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</si>
  <si>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</si>
  <si>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</si>
  <si>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</si>
  <si>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</si>
  <si>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</si>
  <si>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</si>
  <si>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</si>
  <si>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</si>
  <si>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</si>
  <si>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</si>
  <si>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</si>
  <si>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</si>
  <si>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</si>
  <si>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</si>
  <si>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</si>
  <si>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</si>
  <si>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</si>
  <si>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</si>
  <si>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</si>
  <si>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</si>
  <si>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</si>
  <si>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</si>
  <si>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</si>
  <si>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</si>
  <si>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</si>
  <si>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</si>
  <si>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</si>
  <si>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</si>
  <si>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</si>
  <si>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</si>
  <si>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</si>
  <si>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</si>
  <si>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</si>
  <si>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</si>
  <si>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</si>
  <si>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</si>
  <si>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</si>
  <si>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</si>
  <si>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</si>
  <si>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</si>
  <si>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</si>
  <si>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</si>
  <si>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</si>
  <si>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</si>
  <si>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</si>
  <si>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</si>
  <si>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</si>
  <si>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</si>
  <si>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</si>
  <si>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</si>
  <si>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</si>
  <si>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</si>
  <si>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</si>
  <si>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</si>
  <si>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</si>
  <si>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</si>
  <si>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</si>
  <si>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</si>
  <si>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</si>
  <si>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</si>
  <si>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</si>
  <si>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</si>
  <si>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</si>
  <si>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</si>
  <si>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</si>
  <si>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</si>
  <si>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</si>
  <si>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</si>
  <si>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</si>
  <si>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</si>
  <si>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</si>
  <si>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</si>
  <si>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</si>
  <si>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</si>
  <si>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</si>
  <si>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</si>
  <si>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</si>
  <si>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</si>
  <si>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</si>
  <si>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</si>
  <si>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</si>
  <si>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</si>
  <si>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</si>
  <si>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</si>
  <si>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</si>
  <si>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</si>
  <si>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</si>
  <si>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</si>
  <si>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</si>
  <si>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</si>
  <si>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</si>
  <si>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</si>
  <si>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</si>
  <si>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</si>
  <si>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</si>
  <si>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</si>
  <si>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</si>
  <si>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</si>
  <si>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</si>
  <si>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</si>
  <si>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</si>
  <si>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</si>
  <si>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</si>
  <si>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</si>
  <si>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</si>
  <si>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</si>
  <si>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</si>
  <si>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</si>
  <si>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</si>
  <si>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</si>
  <si>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</si>
  <si>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</si>
  <si>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</si>
  <si>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</si>
  <si>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</si>
  <si>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</si>
  <si>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</si>
  <si>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</si>
  <si>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</si>
  <si>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</si>
  <si>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</si>
  <si>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</si>
  <si>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</si>
  <si>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</si>
  <si>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</si>
  <si>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</si>
  <si>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</si>
  <si>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</si>
  <si>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</si>
  <si>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</si>
  <si>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</si>
  <si>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</si>
  <si>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</si>
  <si>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</si>
  <si>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</si>
  <si>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</si>
  <si>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</si>
  <si>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</si>
  <si>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</si>
  <si>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</si>
  <si>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</si>
  <si>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</si>
  <si>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</si>
  <si>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</si>
  <si>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</si>
  <si>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</si>
  <si>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</si>
  <si>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</si>
  <si>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</si>
  <si>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</si>
  <si>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</si>
  <si>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</si>
  <si>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</si>
  <si>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</si>
  <si>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</si>
  <si>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</si>
  <si>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</si>
  <si>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</si>
  <si>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</si>
  <si>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</si>
  <si>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</si>
  <si>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</si>
  <si>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</si>
  <si>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</si>
  <si>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</si>
  <si>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</si>
  <si>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</si>
  <si>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</si>
  <si>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</si>
  <si>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</si>
  <si>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</si>
  <si>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</si>
  <si>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</si>
  <si>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</si>
  <si>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</si>
  <si>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</si>
  <si>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</si>
  <si>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</si>
  <si>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</si>
  <si>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</si>
  <si>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</si>
  <si>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</si>
  <si>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</si>
  <si>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</si>
  <si>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</si>
  <si>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</si>
  <si>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</si>
  <si>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</si>
  <si>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</si>
  <si>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</si>
  <si>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</si>
  <si>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</si>
  <si>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</si>
  <si>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</si>
  <si>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</si>
  <si>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</si>
  <si>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</si>
  <si>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</si>
  <si>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</si>
  <si>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</si>
  <si>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</si>
  <si>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</si>
  <si>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</si>
  <si>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</si>
  <si>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</si>
  <si>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</si>
  <si>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</si>
  <si>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</si>
  <si>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</si>
  <si>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</si>
  <si>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</si>
  <si>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</si>
  <si>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</si>
  <si>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</si>
  <si>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</si>
  <si>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</si>
  <si>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</si>
  <si>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</si>
  <si>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</si>
  <si>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</si>
  <si>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</si>
  <si>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</si>
  <si>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</si>
  <si>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</si>
  <si>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</si>
  <si>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</si>
  <si>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</si>
  <si>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</si>
  <si>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</si>
  <si>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</si>
  <si>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</si>
  <si>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</si>
  <si>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</si>
  <si>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</si>
  <si>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</si>
  <si>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</si>
  <si>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</si>
  <si>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</si>
  <si>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</si>
  <si>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</si>
  <si>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</si>
  <si>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</si>
  <si>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</si>
  <si>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</si>
  <si>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</si>
  <si>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</si>
  <si>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</si>
  <si>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</si>
  <si>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</si>
  <si>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</si>
  <si>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</si>
  <si>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</si>
  <si>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</si>
  <si>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</si>
  <si>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</si>
  <si>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</si>
  <si>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</si>
  <si>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</si>
  <si>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</si>
  <si>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</si>
  <si>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</si>
  <si>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</si>
  <si>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</si>
  <si>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</si>
  <si>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</si>
  <si>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</si>
  <si>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</si>
  <si>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</si>
  <si>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</si>
  <si>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</si>
  <si>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</si>
  <si>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</si>
  <si>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</si>
  <si>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</si>
  <si>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</si>
  <si>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</si>
  <si>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</si>
  <si>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</si>
  <si>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</si>
  <si>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</si>
  <si>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</si>
  <si>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</si>
  <si>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</si>
  <si>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</si>
  <si>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</si>
  <si>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</si>
  <si>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</si>
  <si>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</si>
  <si>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</si>
  <si>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</si>
  <si>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</si>
  <si>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</si>
  <si>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</si>
  <si>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</si>
  <si>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</si>
  <si>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</si>
  <si>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</si>
  <si>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</si>
  <si>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</si>
  <si>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</si>
  <si>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</si>
  <si>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</si>
  <si>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</si>
  <si>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</si>
  <si>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</si>
  <si>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</si>
  <si>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</si>
  <si>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</si>
  <si>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</si>
  <si>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</si>
  <si>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</si>
  <si>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</si>
  <si>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</si>
  <si>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</si>
  <si>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</si>
  <si>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</si>
  <si>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</si>
  <si>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</si>
  <si>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</si>
  <si>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</si>
  <si>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</si>
  <si>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</si>
  <si>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</si>
  <si>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</si>
  <si>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</si>
  <si>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</si>
  <si>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</si>
  <si>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</si>
  <si>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</si>
  <si>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</si>
  <si>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</si>
  <si>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</si>
  <si>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</si>
  <si>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</si>
  <si>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</si>
  <si>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</si>
  <si>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</si>
  <si>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</si>
  <si>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</si>
  <si>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</si>
  <si>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</si>
  <si>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</si>
  <si>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</si>
  <si>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</si>
  <si>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</si>
  <si>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</si>
  <si>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</si>
  <si>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</si>
  <si>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</si>
  <si>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</si>
  <si>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</si>
  <si>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</si>
  <si>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</si>
  <si>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</si>
  <si>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</si>
  <si>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</si>
  <si>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</si>
  <si>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</si>
  <si>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</si>
  <si>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</si>
  <si>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</si>
  <si>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</si>
  <si>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</si>
  <si>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</si>
  <si>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</si>
  <si>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</si>
  <si>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</si>
  <si>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</si>
  <si>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</si>
  <si>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</si>
  <si>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</si>
  <si>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</si>
  <si>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</si>
  <si>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</si>
  <si>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</si>
  <si>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</si>
  <si>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</si>
  <si>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</si>
  <si>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</si>
  <si>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</si>
  <si>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</si>
  <si>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</si>
  <si>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</si>
  <si>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</si>
  <si>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</si>
  <si>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</si>
  <si>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</si>
  <si>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</si>
  <si>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</si>
  <si>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</si>
  <si>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</si>
  <si>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</si>
  <si>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</si>
  <si>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</si>
  <si>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</si>
  <si>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</si>
  <si>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</si>
  <si>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</si>
  <si>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</si>
  <si>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</si>
  <si>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</si>
  <si>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</si>
  <si>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</si>
  <si>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</si>
  <si>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</si>
  <si>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</si>
  <si>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</si>
  <si>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</si>
  <si>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</si>
  <si>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</si>
  <si>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</si>
  <si>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</si>
  <si>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</si>
  <si>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</si>
  <si>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</si>
  <si>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</si>
  <si>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</si>
  <si>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</si>
  <si>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</si>
  <si>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</si>
  <si>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</si>
  <si>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</si>
  <si>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</si>
  <si>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</si>
  <si>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</si>
  <si>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</si>
  <si>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</si>
  <si>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</si>
  <si>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</si>
  <si>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</si>
  <si>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</si>
  <si>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</si>
  <si>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</si>
  <si>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</si>
  <si>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</si>
  <si>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</si>
  <si>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</si>
  <si>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</si>
  <si>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</si>
  <si>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</si>
  <si>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</si>
  <si>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</si>
  <si>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</si>
  <si>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</si>
  <si>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</si>
  <si>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</si>
  <si>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</si>
  <si>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</si>
  <si>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</si>
  <si>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</si>
  <si>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</si>
  <si>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</si>
  <si>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</si>
  <si>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</si>
  <si>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</si>
  <si>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</si>
  <si>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</si>
  <si>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</si>
  <si>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</si>
  <si>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</si>
  <si>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</si>
  <si>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</si>
  <si>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</si>
  <si>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</si>
  <si>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</si>
  <si>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</si>
  <si>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</si>
  <si>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</si>
  <si>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</si>
  <si>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</si>
  <si>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</si>
  <si>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</si>
  <si>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</si>
  <si>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</si>
  <si>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</si>
  <si>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</si>
  <si>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</si>
  <si>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</si>
  <si>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</si>
  <si>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</si>
  <si>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</si>
  <si>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</si>
  <si>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</si>
  <si>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</si>
  <si>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</si>
  <si>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</si>
  <si>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</si>
  <si>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</si>
  <si>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</si>
  <si>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</si>
  <si>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</si>
  <si>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</si>
  <si>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</si>
  <si>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</si>
  <si>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</si>
  <si>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</si>
  <si>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</si>
  <si>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</si>
  <si>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</si>
  <si>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</si>
  <si>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</si>
  <si>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</si>
  <si>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</si>
  <si>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</si>
  <si>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</si>
  <si>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</si>
  <si>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</si>
  <si>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</si>
  <si>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</si>
  <si>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</si>
  <si>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</si>
  <si>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</si>
  <si>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</si>
  <si>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</si>
  <si>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</si>
  <si>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</si>
  <si>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</si>
  <si>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</si>
  <si>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</si>
  <si>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</si>
  <si>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</si>
  <si>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</si>
  <si>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</si>
  <si>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</si>
  <si>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</si>
  <si>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</si>
  <si>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</si>
  <si>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</si>
  <si>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</si>
  <si>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</si>
  <si>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</si>
  <si>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</si>
  <si>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</si>
  <si>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</si>
  <si>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</si>
  <si>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</si>
  <si>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</si>
  <si>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</si>
  <si>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</si>
  <si>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</si>
  <si>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</si>
  <si>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</si>
  <si>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</si>
  <si>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</si>
  <si>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</si>
  <si>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</si>
  <si>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</si>
  <si>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</si>
  <si>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</si>
  <si>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</si>
  <si>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</si>
  <si>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</si>
  <si>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</si>
  <si>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</si>
  <si>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</si>
  <si>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</si>
  <si>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</si>
  <si>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</si>
  <si>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</si>
  <si>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</si>
  <si>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</si>
  <si>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</si>
  <si>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</si>
  <si>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</si>
  <si>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</si>
  <si>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</si>
  <si>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</si>
  <si>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</si>
  <si>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</si>
  <si>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</si>
  <si>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</si>
  <si>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</si>
  <si>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</si>
  <si>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</si>
  <si>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</si>
  <si>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</si>
  <si>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</si>
  <si>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</si>
  <si>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</si>
  <si>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</si>
  <si>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</si>
  <si>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</si>
  <si>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</si>
  <si>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</si>
  <si>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</si>
  <si>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</si>
  <si>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NOTTINGHAM SCHOOL DISTRICT</t>
  </si>
  <si>
    <t>Tuition income for the district is receivedfrom those parents that elect to send their child to Coe Brown Northwood Academy</t>
  </si>
  <si>
    <t xml:space="preserve">and are required to remit to the district the differential in tuition to attend CBNA to that of Dover High School.  </t>
  </si>
  <si>
    <t>The tuition differntial for FY12 was $1,807 for grades 10-12 and $1,557 for Grade 9 as they pay $250 direct to CBNA to</t>
  </si>
  <si>
    <t>hold their child's slot for the upcoming school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</si>
</sst>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F119" sqref="F11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413</v>
      </c>
      <c r="C2" s="21">
        <v>413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741692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161421</v>
      </c>
      <c r="G13" s="18">
        <v>9487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1738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22792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925905</v>
      </c>
      <c r="G19" s="41">
        <f>SUM(G9:G18)</f>
        <v>11225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22792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41243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81439</v>
      </c>
      <c r="G24" s="18">
        <v>106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122663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245345</v>
      </c>
      <c r="G32" s="41">
        <f>SUM(G22:G31)</f>
        <v>22898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1738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84650</v>
      </c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35382</v>
      </c>
      <c r="G48" s="18">
        <v>-13411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560528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680560</v>
      </c>
      <c r="G50" s="41">
        <f>SUM(G35:G49)</f>
        <v>-11673</v>
      </c>
      <c r="H50" s="41">
        <f>SUM(H35:H49)</f>
        <v>0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925905</v>
      </c>
      <c r="G51" s="41">
        <f>G50+G32</f>
        <v>11225</v>
      </c>
      <c r="H51" s="41">
        <f>H50+H32</f>
        <v>0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6751927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6751927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137327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137327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2281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103457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1007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2655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5943</v>
      </c>
      <c r="G110" s="41">
        <f>SUM(G95:G109)</f>
        <v>103457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6895197</v>
      </c>
      <c r="G111" s="41">
        <f>G59+G110</f>
        <v>103457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1167725-1011</f>
        <v>1166714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1341778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1011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2509503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56699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11290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56699</v>
      </c>
      <c r="G135" s="41">
        <f>SUM(G122:G134)</f>
        <v>11290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2566202</v>
      </c>
      <c r="G139" s="41">
        <f>G120+SUM(G135:G136)</f>
        <v>11290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53445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53445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50126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63910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63910</v>
      </c>
      <c r="G161" s="41">
        <f>SUM(G149:G160)</f>
        <v>50126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117355</v>
      </c>
      <c r="G168" s="41">
        <f>G146+G161+SUM(G162:G167)</f>
        <v>50126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9101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9101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9101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9587855</v>
      </c>
      <c r="G192" s="47">
        <f>G111+G139+G168+G191</f>
        <v>164873</v>
      </c>
      <c r="H192" s="47">
        <f>H111+H139+H168+H191</f>
        <v>0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1831930</v>
      </c>
      <c r="G196" s="18">
        <v>769120</v>
      </c>
      <c r="H196" s="18">
        <v>20505</v>
      </c>
      <c r="I196" s="18">
        <v>61308</v>
      </c>
      <c r="J196" s="18"/>
      <c r="K196" s="18">
        <v>146</v>
      </c>
      <c r="L196" s="19">
        <f>SUM(F196:K196)</f>
        <v>2683009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239017.86+297444.78+15946.5+7700-0.14</f>
        <v>560109</v>
      </c>
      <c r="G197" s="18">
        <v>212205</v>
      </c>
      <c r="H197" s="18">
        <f>3003.3+287209.76-0.06</f>
        <v>290213</v>
      </c>
      <c r="I197" s="18">
        <f>791.44+868.78+2786.12+5043.2-0.54</f>
        <v>9489</v>
      </c>
      <c r="J197" s="18">
        <v>2387</v>
      </c>
      <c r="K197" s="18"/>
      <c r="L197" s="19">
        <f>SUM(F197:K197)</f>
        <v>1074403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9250+3000+10625</f>
        <v>22875</v>
      </c>
      <c r="G199" s="18">
        <f>937.19+1042.85+812.87+480.25-0.16</f>
        <v>3273</v>
      </c>
      <c r="H199" s="18">
        <f>2560+213</f>
        <v>2773</v>
      </c>
      <c r="I199" s="18">
        <v>1167</v>
      </c>
      <c r="J199" s="18">
        <v>158</v>
      </c>
      <c r="K199" s="18">
        <v>557</v>
      </c>
      <c r="L199" s="19">
        <f>SUM(F199:K199)</f>
        <v>30803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263223</v>
      </c>
      <c r="G201" s="18">
        <v>141696</v>
      </c>
      <c r="H201" s="18">
        <v>108599</v>
      </c>
      <c r="I201" s="18">
        <v>1532</v>
      </c>
      <c r="J201" s="18"/>
      <c r="K201" s="18"/>
      <c r="L201" s="19">
        <f t="shared" ref="L201:L207" si="0">SUM(F201:K201)</f>
        <v>515050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128586</v>
      </c>
      <c r="G202" s="18">
        <v>76933</v>
      </c>
      <c r="H202" s="18">
        <v>14422</v>
      </c>
      <c r="I202" s="18">
        <v>14807</v>
      </c>
      <c r="J202" s="18">
        <v>44882</v>
      </c>
      <c r="K202" s="18"/>
      <c r="L202" s="19">
        <f t="shared" si="0"/>
        <v>279630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8844</v>
      </c>
      <c r="G203" s="18">
        <v>703</v>
      </c>
      <c r="H203" s="18">
        <v>267204</v>
      </c>
      <c r="I203" s="18"/>
      <c r="J203" s="18"/>
      <c r="K203" s="18">
        <v>2531</v>
      </c>
      <c r="L203" s="19">
        <f t="shared" si="0"/>
        <v>279282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225453</v>
      </c>
      <c r="G204" s="18">
        <v>106039</v>
      </c>
      <c r="H204" s="18">
        <v>11456</v>
      </c>
      <c r="I204" s="18">
        <v>2825</v>
      </c>
      <c r="J204" s="18"/>
      <c r="K204" s="18">
        <v>1205</v>
      </c>
      <c r="L204" s="19">
        <f t="shared" si="0"/>
        <v>346978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29492</v>
      </c>
      <c r="G205" s="18">
        <v>11910</v>
      </c>
      <c r="H205" s="18">
        <v>912</v>
      </c>
      <c r="I205" s="18">
        <v>1701</v>
      </c>
      <c r="J205" s="18"/>
      <c r="K205" s="18"/>
      <c r="L205" s="19">
        <f t="shared" si="0"/>
        <v>44015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122934</v>
      </c>
      <c r="G206" s="18">
        <v>64402</v>
      </c>
      <c r="H206" s="18">
        <v>85085</v>
      </c>
      <c r="I206" s="18">
        <v>119119</v>
      </c>
      <c r="J206" s="18">
        <v>25734</v>
      </c>
      <c r="K206" s="18"/>
      <c r="L206" s="19">
        <f t="shared" si="0"/>
        <v>417274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468237</v>
      </c>
      <c r="I207" s="18"/>
      <c r="J207" s="18"/>
      <c r="K207" s="18"/>
      <c r="L207" s="19">
        <f t="shared" si="0"/>
        <v>468237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3193446</v>
      </c>
      <c r="G210" s="41">
        <f t="shared" si="1"/>
        <v>1386281</v>
      </c>
      <c r="H210" s="41">
        <f t="shared" si="1"/>
        <v>1269406</v>
      </c>
      <c r="I210" s="41">
        <f t="shared" si="1"/>
        <v>211948</v>
      </c>
      <c r="J210" s="41">
        <f t="shared" si="1"/>
        <v>73161</v>
      </c>
      <c r="K210" s="41">
        <f t="shared" si="1"/>
        <v>4439</v>
      </c>
      <c r="L210" s="41">
        <f t="shared" si="1"/>
        <v>6138681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2628883</v>
      </c>
      <c r="I232" s="18"/>
      <c r="J232" s="18"/>
      <c r="K232" s="18"/>
      <c r="L232" s="19">
        <f>SUM(F232:K232)</f>
        <v>2628883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361923</v>
      </c>
      <c r="I233" s="18"/>
      <c r="J233" s="18"/>
      <c r="K233" s="18"/>
      <c r="L233" s="19">
        <f>SUM(F233:K233)</f>
        <v>361923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3618</v>
      </c>
      <c r="G239" s="18">
        <v>288</v>
      </c>
      <c r="H239" s="18">
        <v>109311</v>
      </c>
      <c r="I239" s="18"/>
      <c r="J239" s="18"/>
      <c r="K239" s="18">
        <v>1036</v>
      </c>
      <c r="L239" s="19">
        <f t="shared" si="4"/>
        <v>114253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12065</v>
      </c>
      <c r="G241" s="18">
        <v>4872</v>
      </c>
      <c r="H241" s="18">
        <v>373</v>
      </c>
      <c r="I241" s="18">
        <v>696</v>
      </c>
      <c r="J241" s="18"/>
      <c r="K241" s="18"/>
      <c r="L241" s="19">
        <f t="shared" si="4"/>
        <v>18006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216415</v>
      </c>
      <c r="I243" s="18"/>
      <c r="J243" s="18"/>
      <c r="K243" s="18"/>
      <c r="L243" s="19">
        <f t="shared" si="4"/>
        <v>216415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15683</v>
      </c>
      <c r="G246" s="41">
        <f t="shared" si="5"/>
        <v>5160</v>
      </c>
      <c r="H246" s="41">
        <f t="shared" si="5"/>
        <v>3316905</v>
      </c>
      <c r="I246" s="41">
        <f t="shared" si="5"/>
        <v>696</v>
      </c>
      <c r="J246" s="41">
        <f t="shared" si="5"/>
        <v>0</v>
      </c>
      <c r="K246" s="41">
        <f t="shared" si="5"/>
        <v>1036</v>
      </c>
      <c r="L246" s="41">
        <f t="shared" si="5"/>
        <v>3339480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9632</v>
      </c>
      <c r="K254" s="18"/>
      <c r="L254" s="19">
        <f t="shared" si="6"/>
        <v>9632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9632</v>
      </c>
      <c r="K255" s="41">
        <f t="shared" si="7"/>
        <v>0</v>
      </c>
      <c r="L255" s="41">
        <f>SUM(F255:K255)</f>
        <v>9632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3209129</v>
      </c>
      <c r="G256" s="41">
        <f t="shared" si="8"/>
        <v>1391441</v>
      </c>
      <c r="H256" s="41">
        <f t="shared" si="8"/>
        <v>4586311</v>
      </c>
      <c r="I256" s="41">
        <f t="shared" si="8"/>
        <v>212644</v>
      </c>
      <c r="J256" s="41">
        <f t="shared" si="8"/>
        <v>82793</v>
      </c>
      <c r="K256" s="41">
        <f t="shared" si="8"/>
        <v>5475</v>
      </c>
      <c r="L256" s="41">
        <f t="shared" si="8"/>
        <v>9487793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3209129</v>
      </c>
      <c r="G270" s="42">
        <f t="shared" si="11"/>
        <v>1391441</v>
      </c>
      <c r="H270" s="42">
        <f t="shared" si="11"/>
        <v>4586311</v>
      </c>
      <c r="I270" s="42">
        <f t="shared" si="11"/>
        <v>212644</v>
      </c>
      <c r="J270" s="42">
        <f t="shared" si="11"/>
        <v>82793</v>
      </c>
      <c r="K270" s="42">
        <f t="shared" si="11"/>
        <v>5475</v>
      </c>
      <c r="L270" s="42">
        <f t="shared" si="11"/>
        <v>9487793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68816</v>
      </c>
      <c r="G357" s="18">
        <v>37049</v>
      </c>
      <c r="H357" s="18">
        <v>5323</v>
      </c>
      <c r="I357" s="18">
        <v>71521</v>
      </c>
      <c r="J357" s="18"/>
      <c r="K357" s="18"/>
      <c r="L357" s="13">
        <f>SUM(F357:K357)</f>
        <v>182709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68816</v>
      </c>
      <c r="G361" s="47">
        <f t="shared" si="22"/>
        <v>37049</v>
      </c>
      <c r="H361" s="47">
        <f t="shared" si="22"/>
        <v>5323</v>
      </c>
      <c r="I361" s="47">
        <f t="shared" si="22"/>
        <v>71521</v>
      </c>
      <c r="J361" s="47">
        <f t="shared" si="22"/>
        <v>0</v>
      </c>
      <c r="K361" s="47">
        <f t="shared" si="22"/>
        <v>0</v>
      </c>
      <c r="L361" s="47">
        <f t="shared" si="22"/>
        <v>182709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69030</v>
      </c>
      <c r="G366" s="18"/>
      <c r="H366" s="18"/>
      <c r="I366" s="56">
        <f>SUM(F366:H366)</f>
        <v>69030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2491</v>
      </c>
      <c r="G367" s="63"/>
      <c r="H367" s="63"/>
      <c r="I367" s="56">
        <f>SUM(F367:H367)</f>
        <v>2491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71521</v>
      </c>
      <c r="G368" s="47">
        <f>SUM(G366:G367)</f>
        <v>0</v>
      </c>
      <c r="H368" s="47">
        <f>SUM(H366:H367)</f>
        <v>0</v>
      </c>
      <c r="I368" s="47">
        <f>SUM(I366:I367)</f>
        <v>71521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580498</v>
      </c>
      <c r="G464" s="18">
        <v>6163</v>
      </c>
      <c r="H464" s="18"/>
      <c r="I464" s="18"/>
      <c r="J464" s="18"/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9587855</v>
      </c>
      <c r="G467" s="18">
        <v>164873</v>
      </c>
      <c r="H467" s="18"/>
      <c r="I467" s="18"/>
      <c r="J467" s="18"/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9587855</v>
      </c>
      <c r="G469" s="53">
        <f>SUM(G467:G468)</f>
        <v>164873</v>
      </c>
      <c r="H469" s="53">
        <f>SUM(H467:H468)</f>
        <v>0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9487793</v>
      </c>
      <c r="G471" s="18">
        <v>182709</v>
      </c>
      <c r="H471" s="18"/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9487793</v>
      </c>
      <c r="G473" s="53">
        <f>SUM(G471:G472)</f>
        <v>182709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680560</v>
      </c>
      <c r="G475" s="53">
        <f>(G464+G469)- G473</f>
        <v>-11673</v>
      </c>
      <c r="H475" s="53">
        <f>(H464+H469)- H473</f>
        <v>0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239017.86+297444.78+15946.5+7700-0.14</f>
        <v>560109</v>
      </c>
      <c r="G520" s="18">
        <v>212205</v>
      </c>
      <c r="H520" s="18">
        <v>290213</v>
      </c>
      <c r="I520" s="18">
        <v>9490</v>
      </c>
      <c r="J520" s="18">
        <v>2387</v>
      </c>
      <c r="K520" s="18"/>
      <c r="L520" s="88">
        <f>SUM(F520:K520)</f>
        <v>1074404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361923</v>
      </c>
      <c r="I522" s="18"/>
      <c r="J522" s="18"/>
      <c r="K522" s="18"/>
      <c r="L522" s="88">
        <f>SUM(F522:K522)</f>
        <v>361923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560109</v>
      </c>
      <c r="G523" s="108">
        <f t="shared" ref="G523:L523" si="36">SUM(G520:G522)</f>
        <v>212205</v>
      </c>
      <c r="H523" s="108">
        <f t="shared" si="36"/>
        <v>652136</v>
      </c>
      <c r="I523" s="108">
        <f t="shared" si="36"/>
        <v>9490</v>
      </c>
      <c r="J523" s="108">
        <f t="shared" si="36"/>
        <v>2387</v>
      </c>
      <c r="K523" s="108">
        <f t="shared" si="36"/>
        <v>0</v>
      </c>
      <c r="L523" s="89">
        <f t="shared" si="36"/>
        <v>1436327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96355+58904+650</f>
        <v>155909</v>
      </c>
      <c r="G525" s="18">
        <v>79369</v>
      </c>
      <c r="H525" s="18">
        <f>114</f>
        <v>114</v>
      </c>
      <c r="I525" s="18">
        <v>1130</v>
      </c>
      <c r="J525" s="18"/>
      <c r="K525" s="18"/>
      <c r="L525" s="88">
        <f>SUM(F525:K525)</f>
        <v>236522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155909</v>
      </c>
      <c r="G528" s="89">
        <f t="shared" ref="G528:L528" si="37">SUM(G525:G527)</f>
        <v>79369</v>
      </c>
      <c r="H528" s="89">
        <f t="shared" si="37"/>
        <v>114</v>
      </c>
      <c r="I528" s="89">
        <f t="shared" si="37"/>
        <v>1130</v>
      </c>
      <c r="J528" s="89">
        <f t="shared" si="37"/>
        <v>0</v>
      </c>
      <c r="K528" s="89">
        <f t="shared" si="37"/>
        <v>0</v>
      </c>
      <c r="L528" s="89">
        <f t="shared" si="37"/>
        <v>236522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43649</v>
      </c>
      <c r="G530" s="18">
        <v>21434</v>
      </c>
      <c r="H530" s="18">
        <v>2076</v>
      </c>
      <c r="I530" s="18">
        <v>844</v>
      </c>
      <c r="J530" s="18"/>
      <c r="K530" s="18"/>
      <c r="L530" s="88">
        <f>SUM(F530:K530)</f>
        <v>68003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18098</v>
      </c>
      <c r="G532" s="18">
        <v>8887</v>
      </c>
      <c r="H532" s="18">
        <v>861</v>
      </c>
      <c r="I532" s="18">
        <v>350</v>
      </c>
      <c r="J532" s="18"/>
      <c r="K532" s="18"/>
      <c r="L532" s="88">
        <f>SUM(F532:K532)</f>
        <v>28196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61747</v>
      </c>
      <c r="G533" s="89">
        <f t="shared" ref="G533:L533" si="38">SUM(G530:G532)</f>
        <v>30321</v>
      </c>
      <c r="H533" s="89">
        <f t="shared" si="38"/>
        <v>2937</v>
      </c>
      <c r="I533" s="89">
        <f t="shared" si="38"/>
        <v>1194</v>
      </c>
      <c r="J533" s="89">
        <f t="shared" si="38"/>
        <v>0</v>
      </c>
      <c r="K533" s="89">
        <f t="shared" si="38"/>
        <v>0</v>
      </c>
      <c r="L533" s="89">
        <f t="shared" si="38"/>
        <v>96199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203</v>
      </c>
      <c r="I535" s="18"/>
      <c r="J535" s="18"/>
      <c r="K535" s="18"/>
      <c r="L535" s="88">
        <f>SUM(F535:K535)</f>
        <v>203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203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203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117717</v>
      </c>
      <c r="I540" s="18"/>
      <c r="J540" s="18"/>
      <c r="K540" s="18"/>
      <c r="L540" s="88">
        <f>SUM(F540:K540)</f>
        <v>117717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22606</v>
      </c>
      <c r="I542" s="18"/>
      <c r="J542" s="18"/>
      <c r="K542" s="18"/>
      <c r="L542" s="88">
        <f>SUM(F542:K542)</f>
        <v>22606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140323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140323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777765</v>
      </c>
      <c r="G544" s="89">
        <f t="shared" ref="G544:L544" si="41">G523+G528+G533+G538+G543</f>
        <v>321895</v>
      </c>
      <c r="H544" s="89">
        <f t="shared" si="41"/>
        <v>795713</v>
      </c>
      <c r="I544" s="89">
        <f t="shared" si="41"/>
        <v>11814</v>
      </c>
      <c r="J544" s="89">
        <f t="shared" si="41"/>
        <v>2387</v>
      </c>
      <c r="K544" s="89">
        <f t="shared" si="41"/>
        <v>0</v>
      </c>
      <c r="L544" s="89">
        <f t="shared" si="41"/>
        <v>1909574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1074404</v>
      </c>
      <c r="G548" s="87">
        <f>L525</f>
        <v>236522</v>
      </c>
      <c r="H548" s="87">
        <f>L530</f>
        <v>68003</v>
      </c>
      <c r="I548" s="87">
        <f>L535</f>
        <v>203</v>
      </c>
      <c r="J548" s="87">
        <f>L540</f>
        <v>117717</v>
      </c>
      <c r="K548" s="87">
        <f>SUM(F548:J548)</f>
        <v>1496849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361923</v>
      </c>
      <c r="G550" s="87">
        <f>L527</f>
        <v>0</v>
      </c>
      <c r="H550" s="87">
        <f>L532</f>
        <v>28196</v>
      </c>
      <c r="I550" s="87">
        <f>L537</f>
        <v>0</v>
      </c>
      <c r="J550" s="87">
        <f>L542</f>
        <v>22606</v>
      </c>
      <c r="K550" s="87">
        <f>SUM(F550:J550)</f>
        <v>412725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1436327</v>
      </c>
      <c r="G551" s="89">
        <f t="shared" si="42"/>
        <v>236522</v>
      </c>
      <c r="H551" s="89">
        <f t="shared" si="42"/>
        <v>96199</v>
      </c>
      <c r="I551" s="89">
        <f t="shared" si="42"/>
        <v>203</v>
      </c>
      <c r="J551" s="89">
        <f t="shared" si="42"/>
        <v>140323</v>
      </c>
      <c r="K551" s="89">
        <f t="shared" si="42"/>
        <v>1909574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1399502</v>
      </c>
      <c r="I574" s="87">
        <f>SUM(F574:H574)</f>
        <v>1399502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1218880</v>
      </c>
      <c r="I577" s="87">
        <f t="shared" si="47"/>
        <v>1218880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11906</v>
      </c>
      <c r="I578" s="87">
        <f t="shared" si="47"/>
        <v>11906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6524</v>
      </c>
      <c r="I580" s="87">
        <f t="shared" si="47"/>
        <v>6524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287209.76</v>
      </c>
      <c r="G581" s="18"/>
      <c r="H581" s="18">
        <v>343493</v>
      </c>
      <c r="I581" s="87">
        <f t="shared" si="47"/>
        <v>630702.76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343418</v>
      </c>
      <c r="I590" s="18"/>
      <c r="J590" s="18">
        <v>193810</v>
      </c>
      <c r="K590" s="104">
        <f t="shared" ref="K590:K596" si="48">SUM(H590:J590)</f>
        <v>537228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117717</v>
      </c>
      <c r="I591" s="18"/>
      <c r="J591" s="18">
        <v>22605</v>
      </c>
      <c r="K591" s="104">
        <f t="shared" si="48"/>
        <v>140322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2839</v>
      </c>
      <c r="I593" s="18"/>
      <c r="J593" s="18"/>
      <c r="K593" s="104">
        <f t="shared" si="48"/>
        <v>2839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4263</v>
      </c>
      <c r="I594" s="18"/>
      <c r="J594" s="18"/>
      <c r="K594" s="104">
        <f t="shared" si="48"/>
        <v>4263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468237</v>
      </c>
      <c r="I597" s="108">
        <f>SUM(I590:I596)</f>
        <v>0</v>
      </c>
      <c r="J597" s="108">
        <f>SUM(J590:J596)</f>
        <v>216415</v>
      </c>
      <c r="K597" s="108">
        <f>SUM(K590:K596)</f>
        <v>684652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73161</v>
      </c>
      <c r="I603" s="18"/>
      <c r="J603" s="18"/>
      <c r="K603" s="104">
        <f>SUM(H603:J603)</f>
        <v>73161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73161</v>
      </c>
      <c r="I604" s="108">
        <f>SUM(I601:I603)</f>
        <v>0</v>
      </c>
      <c r="J604" s="108">
        <f>SUM(J601:J603)</f>
        <v>0</v>
      </c>
      <c r="K604" s="108">
        <f>SUM(K601:K603)</f>
        <v>73161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925905</v>
      </c>
      <c r="H616" s="109">
        <f>SUM(F51)</f>
        <v>925905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11225</v>
      </c>
      <c r="H617" s="109">
        <f>SUM(G51)</f>
        <v>11225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680560</v>
      </c>
      <c r="H621" s="109">
        <f>F475</f>
        <v>680560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-11673</v>
      </c>
      <c r="H622" s="109">
        <f>G475</f>
        <v>-11673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9587855</v>
      </c>
      <c r="H626" s="104">
        <f>SUM(F467)</f>
        <v>9587855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164873</v>
      </c>
      <c r="H627" s="104">
        <f>SUM(G467)</f>
        <v>164873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9487793</v>
      </c>
      <c r="H631" s="104">
        <f>SUM(F471)</f>
        <v>9487793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71521</v>
      </c>
      <c r="H633" s="104">
        <f>I368</f>
        <v>71521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182709</v>
      </c>
      <c r="H634" s="104">
        <f>SUM(G471)</f>
        <v>182709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684652</v>
      </c>
      <c r="H646" s="104">
        <f>L207+L225+L243</f>
        <v>684652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73161</v>
      </c>
      <c r="H647" s="104">
        <f>(J256+J337)-(J254+J335)</f>
        <v>73161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468237</v>
      </c>
      <c r="H648" s="104">
        <f>H597</f>
        <v>468237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216415</v>
      </c>
      <c r="H650" s="104">
        <f>J597</f>
        <v>216415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6321390</v>
      </c>
      <c r="G659" s="19">
        <f>(L228+L308+L358)</f>
        <v>0</v>
      </c>
      <c r="H659" s="19">
        <f>(L246+L327+L359)</f>
        <v>3339480</v>
      </c>
      <c r="I659" s="19">
        <f>SUM(F659:H659)</f>
        <v>9660870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103457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103457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468237</v>
      </c>
      <c r="G661" s="19">
        <f>(L225+L305)-(J225+J305)</f>
        <v>0</v>
      </c>
      <c r="H661" s="19">
        <f>(L243+L324)-(J243+J324)</f>
        <v>216415</v>
      </c>
      <c r="I661" s="19">
        <f>SUM(F661:H661)</f>
        <v>684652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360370.76</v>
      </c>
      <c r="G662" s="200">
        <f>SUM(G574:G586)+SUM(I601:I603)+L611</f>
        <v>0</v>
      </c>
      <c r="H662" s="200">
        <f>SUM(H574:H586)+SUM(J601:J603)+L612</f>
        <v>2980305</v>
      </c>
      <c r="I662" s="19">
        <f>SUM(F662:H662)</f>
        <v>3340675.76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5389325.2400000002</v>
      </c>
      <c r="G663" s="19">
        <f>G659-SUM(G660:G662)</f>
        <v>0</v>
      </c>
      <c r="H663" s="19">
        <f>H659-SUM(H660:H662)</f>
        <v>142760</v>
      </c>
      <c r="I663" s="19">
        <f>I659-SUM(I660:I662)</f>
        <v>5532085.2400000002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479.82</v>
      </c>
      <c r="G664" s="249"/>
      <c r="H664" s="249"/>
      <c r="I664" s="19">
        <f>SUM(F664:H664)</f>
        <v>479.82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11231.97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11529.5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-142760</v>
      </c>
      <c r="I668" s="19">
        <f>SUM(F668:H668)</f>
        <v>-142760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11231.97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11231.97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H21" sqref="H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NOTTINGHAM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1831930</v>
      </c>
      <c r="C9" s="230">
        <f>'DOE25'!G196+'DOE25'!G214+'DOE25'!G232+'DOE25'!G275+'DOE25'!G294+'DOE25'!G313</f>
        <v>769120</v>
      </c>
    </row>
    <row r="10" spans="1:3" x14ac:dyDescent="0.2">
      <c r="A10" t="s">
        <v>779</v>
      </c>
      <c r="B10" s="241">
        <v>1753139</v>
      </c>
      <c r="C10" s="241">
        <v>763093</v>
      </c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>
        <v>78791</v>
      </c>
      <c r="C12" s="241">
        <v>6027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1831930</v>
      </c>
      <c r="C13" s="232">
        <f>SUM(C10:C12)</f>
        <v>769120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560109</v>
      </c>
      <c r="C18" s="230">
        <f>'DOE25'!G197+'DOE25'!G215+'DOE25'!G233+'DOE25'!G276+'DOE25'!G295+'DOE25'!G314</f>
        <v>212205</v>
      </c>
    </row>
    <row r="19" spans="1:3" x14ac:dyDescent="0.2">
      <c r="A19" t="s">
        <v>779</v>
      </c>
      <c r="B19" s="241">
        <v>239018</v>
      </c>
      <c r="C19" s="241">
        <v>96582</v>
      </c>
    </row>
    <row r="20" spans="1:3" x14ac:dyDescent="0.2">
      <c r="A20" t="s">
        <v>780</v>
      </c>
      <c r="B20" s="241">
        <v>297445</v>
      </c>
      <c r="C20" s="241">
        <v>103384</v>
      </c>
    </row>
    <row r="21" spans="1:3" x14ac:dyDescent="0.2">
      <c r="A21" t="s">
        <v>781</v>
      </c>
      <c r="B21" s="241">
        <v>23646</v>
      </c>
      <c r="C21" s="241">
        <v>12239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560109</v>
      </c>
      <c r="C22" s="232">
        <f>SUM(C19:C21)</f>
        <v>212205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22875</v>
      </c>
      <c r="C36" s="236">
        <f>'DOE25'!G199+'DOE25'!G217+'DOE25'!G235+'DOE25'!G278+'DOE25'!G297+'DOE25'!G316</f>
        <v>3273</v>
      </c>
    </row>
    <row r="37" spans="1:3" x14ac:dyDescent="0.2">
      <c r="A37" t="s">
        <v>779</v>
      </c>
      <c r="B37" s="241">
        <f>850+850+850+1700+850+1700+425+2550+850+3000</f>
        <v>13625</v>
      </c>
      <c r="C37" s="241">
        <v>2565</v>
      </c>
    </row>
    <row r="38" spans="1:3" x14ac:dyDescent="0.2">
      <c r="A38" t="s">
        <v>780</v>
      </c>
      <c r="B38" s="241">
        <f>850+1700+425</f>
        <v>2975</v>
      </c>
      <c r="C38" s="241">
        <v>228</v>
      </c>
    </row>
    <row r="39" spans="1:3" x14ac:dyDescent="0.2">
      <c r="A39" t="s">
        <v>781</v>
      </c>
      <c r="B39" s="241">
        <f>850+850+850+850+425+850+1600</f>
        <v>6275</v>
      </c>
      <c r="C39" s="241">
        <v>480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22875</v>
      </c>
      <c r="C40" s="232">
        <f>SUM(C37:C39)</f>
        <v>3273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L12" sqref="L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NOTTINGHAM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6779021</v>
      </c>
      <c r="D5" s="20">
        <f>SUM('DOE25'!L196:L199)+SUM('DOE25'!L214:L217)+SUM('DOE25'!L232:L235)-F5-G5</f>
        <v>6775773</v>
      </c>
      <c r="E5" s="244"/>
      <c r="F5" s="256">
        <f>SUM('DOE25'!J196:J199)+SUM('DOE25'!J214:J217)+SUM('DOE25'!J232:J235)</f>
        <v>2545</v>
      </c>
      <c r="G5" s="53">
        <f>SUM('DOE25'!K196:K199)+SUM('DOE25'!K214:K217)+SUM('DOE25'!K232:K235)</f>
        <v>703</v>
      </c>
      <c r="H5" s="260"/>
    </row>
    <row r="6" spans="1:9" x14ac:dyDescent="0.2">
      <c r="A6" s="32">
        <v>2100</v>
      </c>
      <c r="B6" t="s">
        <v>801</v>
      </c>
      <c r="C6" s="246">
        <f t="shared" si="0"/>
        <v>515050</v>
      </c>
      <c r="D6" s="20">
        <f>'DOE25'!L201+'DOE25'!L219+'DOE25'!L237-F6-G6</f>
        <v>515050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279630</v>
      </c>
      <c r="D7" s="20">
        <f>'DOE25'!L202+'DOE25'!L220+'DOE25'!L238-F7-G7</f>
        <v>234748</v>
      </c>
      <c r="E7" s="244"/>
      <c r="F7" s="256">
        <f>'DOE25'!J202+'DOE25'!J220+'DOE25'!J238</f>
        <v>44882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267840.61</v>
      </c>
      <c r="D8" s="244"/>
      <c r="E8" s="20">
        <f>'DOE25'!L203+'DOE25'!L221+'DOE25'!L239-F8-G8-D9-D11</f>
        <v>264273.61</v>
      </c>
      <c r="F8" s="256">
        <f>'DOE25'!J203+'DOE25'!J221+'DOE25'!J239</f>
        <v>0</v>
      </c>
      <c r="G8" s="53">
        <f>'DOE25'!K203+'DOE25'!K221+'DOE25'!K239</f>
        <v>3567</v>
      </c>
      <c r="H8" s="260"/>
    </row>
    <row r="9" spans="1:9" x14ac:dyDescent="0.2">
      <c r="A9" s="32">
        <v>2310</v>
      </c>
      <c r="B9" t="s">
        <v>818</v>
      </c>
      <c r="C9" s="246">
        <f t="shared" si="0"/>
        <v>45033.39</v>
      </c>
      <c r="D9" s="245">
        <v>45033.39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12000</v>
      </c>
      <c r="D10" s="244"/>
      <c r="E10" s="245">
        <v>12000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80661</v>
      </c>
      <c r="D11" s="245">
        <v>80661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346978</v>
      </c>
      <c r="D12" s="20">
        <f>'DOE25'!L204+'DOE25'!L222+'DOE25'!L240-F12-G12</f>
        <v>345773</v>
      </c>
      <c r="E12" s="244"/>
      <c r="F12" s="256">
        <f>'DOE25'!J204+'DOE25'!J222+'DOE25'!J240</f>
        <v>0</v>
      </c>
      <c r="G12" s="53">
        <f>'DOE25'!K204+'DOE25'!K222+'DOE25'!K240</f>
        <v>1205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62021</v>
      </c>
      <c r="D13" s="244"/>
      <c r="E13" s="20">
        <f>'DOE25'!L205+'DOE25'!L223+'DOE25'!L241-F13-G13</f>
        <v>62021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417274</v>
      </c>
      <c r="D14" s="20">
        <f>'DOE25'!L206+'DOE25'!L224+'DOE25'!L242-F14-G14</f>
        <v>391540</v>
      </c>
      <c r="E14" s="244"/>
      <c r="F14" s="256">
        <f>'DOE25'!J206+'DOE25'!J224+'DOE25'!J242</f>
        <v>25734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684652</v>
      </c>
      <c r="D15" s="20">
        <f>'DOE25'!L207+'DOE25'!L225+'DOE25'!L243-F15-G15</f>
        <v>684652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9632</v>
      </c>
      <c r="D22" s="244"/>
      <c r="E22" s="244"/>
      <c r="F22" s="256">
        <f>'DOE25'!L254+'DOE25'!L335</f>
        <v>9632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113679</v>
      </c>
      <c r="D29" s="20">
        <f>'DOE25'!L357+'DOE25'!L358+'DOE25'!L359-'DOE25'!I366-F29-G29</f>
        <v>113679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9186909.3900000006</v>
      </c>
      <c r="E33" s="247">
        <f>SUM(E5:E31)</f>
        <v>338294.61</v>
      </c>
      <c r="F33" s="247">
        <f>SUM(F5:F31)</f>
        <v>82793</v>
      </c>
      <c r="G33" s="247">
        <f>SUM(G5:G31)</f>
        <v>5475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338294.61</v>
      </c>
      <c r="E35" s="250"/>
    </row>
    <row r="36" spans="2:8" ht="12" thickTop="1" x14ac:dyDescent="0.2">
      <c r="B36" t="s">
        <v>815</v>
      </c>
      <c r="D36" s="20">
        <f>D33</f>
        <v>9186909.3900000006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Normal="100" workbookViewId="0">
      <pane ySplit="2" topLeftCell="A90" activePane="bottomLeft" state="frozen"/>
      <selection pane="bottomLeft" activeCell="J105" sqref="J10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NOTTINGHAM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741692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161421</v>
      </c>
      <c r="D12" s="95">
        <f>'DOE25'!G13</f>
        <v>9487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1738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22792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925905</v>
      </c>
      <c r="D18" s="41">
        <f>SUM(D8:D17)</f>
        <v>11225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22792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41243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81439</v>
      </c>
      <c r="D23" s="95">
        <f>'DOE25'!G24</f>
        <v>106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122663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245345</v>
      </c>
      <c r="D31" s="41">
        <f>SUM(D21:D30)</f>
        <v>22898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1738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84650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35382</v>
      </c>
      <c r="D47" s="95">
        <f>'DOE25'!G48</f>
        <v>-13411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560528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680560</v>
      </c>
      <c r="D49" s="41">
        <f>SUM(D34:D48)</f>
        <v>-11673</v>
      </c>
      <c r="E49" s="41">
        <f>SUM(E34:E48)</f>
        <v>0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925905</v>
      </c>
      <c r="D50" s="41">
        <f>D49+D31</f>
        <v>11225</v>
      </c>
      <c r="E50" s="41">
        <f>E49+E31</f>
        <v>0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6751927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137327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2281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103457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3662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143270</v>
      </c>
      <c r="D61" s="130">
        <f>SUM(D56:D60)</f>
        <v>103457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6895197</v>
      </c>
      <c r="D62" s="22">
        <f>D55+D61</f>
        <v>103457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1166714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1341778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1011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2509503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56699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11290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56699</v>
      </c>
      <c r="D77" s="130">
        <f>SUM(D71:D76)</f>
        <v>11290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2566202</v>
      </c>
      <c r="D80" s="130">
        <f>SUM(D78:D79)+D77+D69</f>
        <v>11290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53445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63910</v>
      </c>
      <c r="D87" s="95">
        <f>SUM('DOE25'!G152:G160)</f>
        <v>50126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117355</v>
      </c>
      <c r="D90" s="131">
        <f>SUM(D84:D89)</f>
        <v>50126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9101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9101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9587855</v>
      </c>
      <c r="D103" s="86">
        <f>D62+D80+D90+D102</f>
        <v>164873</v>
      </c>
      <c r="E103" s="86">
        <f>E62+E80+E90+E102</f>
        <v>0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5311892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1436326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30803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6779021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515050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279630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393535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346978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62021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417274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684652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182709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2699140</v>
      </c>
      <c r="D127" s="86">
        <f>SUM(D117:D126)</f>
        <v>182709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9632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9632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9487793</v>
      </c>
      <c r="D144" s="86">
        <f>(D114+D127+D143)</f>
        <v>182709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O9" sqref="O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NOTTINGHAM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11232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11232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5311892</v>
      </c>
      <c r="D10" s="182">
        <f>ROUND((C10/$C$28)*100,1)</f>
        <v>55.6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1436326</v>
      </c>
      <c r="D11" s="182">
        <f>ROUND((C11/$C$28)*100,1)</f>
        <v>15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30803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515050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279630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393535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346978</v>
      </c>
      <c r="D18" s="182">
        <f t="shared" si="0"/>
        <v>3.6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62021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417274</v>
      </c>
      <c r="D20" s="182">
        <f t="shared" si="0"/>
        <v>4.4000000000000004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684652</v>
      </c>
      <c r="D21" s="182">
        <f t="shared" si="0"/>
        <v>7.2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79252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9557413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9632</v>
      </c>
    </row>
    <row r="30" spans="1:4" x14ac:dyDescent="0.2">
      <c r="B30" s="187" t="s">
        <v>729</v>
      </c>
      <c r="C30" s="180">
        <f>SUM(C28:C29)</f>
        <v>9567045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6751927</v>
      </c>
      <c r="D35" s="182">
        <f t="shared" ref="D35:D40" si="1">ROUND((C35/$C$41)*100,1)</f>
        <v>70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143270</v>
      </c>
      <c r="D36" s="182">
        <f t="shared" si="1"/>
        <v>1.5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2509503</v>
      </c>
      <c r="D37" s="182">
        <f t="shared" si="1"/>
        <v>26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67989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167481</v>
      </c>
      <c r="D39" s="182">
        <f t="shared" si="1"/>
        <v>1.7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9640170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29" sqref="C29:M2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NOTTINGHAM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2</v>
      </c>
      <c r="B4" s="220">
        <v>5</v>
      </c>
      <c r="C4" s="284" t="s">
        <v>910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4" t="s">
        <v>911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4" t="s">
        <v>912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4" t="s">
        <v>913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40: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DP40:DZ40"/>
    <mergeCell ref="EP40:EZ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IP40:IV40"/>
    <mergeCell ref="GC38:GM38"/>
    <mergeCell ref="GP38:GZ38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IC40:IM40"/>
    <mergeCell ref="HP32:HZ32"/>
    <mergeCell ref="IC32:IM32"/>
    <mergeCell ref="IP32:IV32"/>
    <mergeCell ref="FC32:FM32"/>
    <mergeCell ref="HC32:HM32"/>
    <mergeCell ref="EP32:EZ32"/>
    <mergeCell ref="AC38:A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BC30:BM30"/>
    <mergeCell ref="BP30:BZ30"/>
    <mergeCell ref="P40:Z40"/>
    <mergeCell ref="AC40:AM40"/>
    <mergeCell ref="BP32:BZ32"/>
    <mergeCell ref="BC38:BM38"/>
    <mergeCell ref="AC32:AM32"/>
    <mergeCell ref="AP32:AZ32"/>
    <mergeCell ref="P38:Z38"/>
    <mergeCell ref="AC31:AM31"/>
    <mergeCell ref="CC30:CM30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BC29:BM29"/>
    <mergeCell ref="C28:M28"/>
    <mergeCell ref="BP29:BZ29"/>
    <mergeCell ref="CC29:CM29"/>
    <mergeCell ref="P29:Z29"/>
    <mergeCell ref="AC29:AM29"/>
    <mergeCell ref="AP29:AZ29"/>
    <mergeCell ref="C24:M24"/>
    <mergeCell ref="C29:M29"/>
    <mergeCell ref="C25:M25"/>
    <mergeCell ref="C60:M60"/>
    <mergeCell ref="C58:M58"/>
    <mergeCell ref="AP31:AZ31"/>
    <mergeCell ref="P32:Z32"/>
    <mergeCell ref="A1:I1"/>
    <mergeCell ref="C3:M3"/>
    <mergeCell ref="C4:M4"/>
    <mergeCell ref="F2:I2"/>
    <mergeCell ref="A2:E2"/>
    <mergeCell ref="C13:M13"/>
    <mergeCell ref="C22:M22"/>
    <mergeCell ref="C23:M23"/>
    <mergeCell ref="P31:Z31"/>
    <mergeCell ref="C9:M9"/>
    <mergeCell ref="C10:M10"/>
    <mergeCell ref="C11:M11"/>
    <mergeCell ref="C12:M12"/>
    <mergeCell ref="C26:M26"/>
    <mergeCell ref="C27:M27"/>
    <mergeCell ref="C21:M21"/>
    <mergeCell ref="C5:M5"/>
    <mergeCell ref="C6:M6"/>
    <mergeCell ref="C7:M7"/>
    <mergeCell ref="C8:M8"/>
    <mergeCell ref="C32:M32"/>
    <mergeCell ref="C30:M30"/>
    <mergeCell ref="C31:M31"/>
    <mergeCell ref="C14:M14"/>
    <mergeCell ref="C15:M15"/>
    <mergeCell ref="C16:M16"/>
    <mergeCell ref="C17:M17"/>
    <mergeCell ref="C18:M18"/>
    <mergeCell ref="C19:M19"/>
    <mergeCell ref="C20:M20"/>
    <mergeCell ref="C66:M66"/>
    <mergeCell ref="C67:M67"/>
    <mergeCell ref="C68:M68"/>
    <mergeCell ref="C69:M69"/>
    <mergeCell ref="C62:M62"/>
    <mergeCell ref="C63:M63"/>
    <mergeCell ref="C64:M64"/>
    <mergeCell ref="C65:M65"/>
    <mergeCell ref="C34:M34"/>
    <mergeCell ref="C35:M35"/>
    <mergeCell ref="C36:M36"/>
    <mergeCell ref="C61:M61"/>
    <mergeCell ref="C53:M53"/>
    <mergeCell ref="C54:M54"/>
    <mergeCell ref="C52:M52"/>
    <mergeCell ref="C50:M50"/>
    <mergeCell ref="C47:M47"/>
    <mergeCell ref="C48:M48"/>
    <mergeCell ref="C49:M49"/>
    <mergeCell ref="C51:M51"/>
    <mergeCell ref="C55:M55"/>
    <mergeCell ref="C56:M56"/>
    <mergeCell ref="C57:M57"/>
    <mergeCell ref="C59:M59"/>
    <mergeCell ref="C89:M89"/>
    <mergeCell ref="C90:M90"/>
    <mergeCell ref="C83:M83"/>
    <mergeCell ref="C84:M84"/>
    <mergeCell ref="C85:M85"/>
    <mergeCell ref="C86:M86"/>
    <mergeCell ref="C87:M87"/>
    <mergeCell ref="C70:M70"/>
    <mergeCell ref="A72:E72"/>
    <mergeCell ref="C73:M73"/>
    <mergeCell ref="C74:M74"/>
    <mergeCell ref="C79:M79"/>
    <mergeCell ref="C80:M80"/>
    <mergeCell ref="C81:M81"/>
    <mergeCell ref="C82:M82"/>
    <mergeCell ref="C75:M75"/>
    <mergeCell ref="C76:M76"/>
    <mergeCell ref="C77:M77"/>
    <mergeCell ref="C78:M78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2012-10-17T16:46:07Z</cp:lastPrinted>
  <dcterms:created xsi:type="dcterms:W3CDTF">1997-12-04T19:04:30Z</dcterms:created>
  <dcterms:modified xsi:type="dcterms:W3CDTF">2012-11-21T15:15:31Z</dcterms:modified>
</cp:coreProperties>
</file>